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Отделы\Производствено-технический отдел (ПТО)\Мишкина З.И\ИП 2025\Реконструкция\"/>
    </mc:Choice>
  </mc:AlternateContent>
  <xr:revisionPtr revIDLastSave="0" documentId="13_ncr:1_{F676A319-5E53-42D4-B424-B8B3B9A94140}" xr6:coauthVersionLast="47" xr6:coauthVersionMax="47" xr10:uidLastSave="{00000000-0000-0000-0000-000000000000}"/>
  <bookViews>
    <workbookView xWindow="-120" yWindow="-120" windowWidth="29040" windowHeight="15840" xr2:uid="{71AA1945-9597-434C-B349-C252683AF71F}"/>
  </bookViews>
  <sheets>
    <sheet name="Смета по ФСНБ 421+557прРИМ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ФСНБ 421+557прРИМ'!$52:$52</definedName>
    <definedName name="_xlnm.Print_Area" localSheetId="0">'Смета по ФСНБ 421+557прРИМ'!$A$1:$L$786</definedName>
  </definedNames>
  <calcPr calcId="191029" iterate="1"/>
</workbook>
</file>

<file path=xl/calcChain.xml><?xml version="1.0" encoding="utf-8"?>
<calcChain xmlns="http://schemas.openxmlformats.org/spreadsheetml/2006/main">
  <c r="H784" i="7" l="1"/>
  <c r="H781" i="7"/>
  <c r="C784" i="7"/>
  <c r="C781" i="7"/>
  <c r="C770" i="7"/>
  <c r="L766" i="7"/>
  <c r="L765" i="7"/>
  <c r="L762" i="7"/>
  <c r="L761" i="7"/>
  <c r="L759" i="7" s="1"/>
  <c r="L755" i="7"/>
  <c r="L754" i="7"/>
  <c r="L750" i="7"/>
  <c r="L735" i="7"/>
  <c r="L734" i="7"/>
  <c r="L730" i="7"/>
  <c r="L719" i="7"/>
  <c r="L714" i="7"/>
  <c r="L713" i="7"/>
  <c r="L711" i="7" s="1"/>
  <c r="L706" i="7"/>
  <c r="L705" i="7"/>
  <c r="L701" i="7"/>
  <c r="L686" i="7"/>
  <c r="L685" i="7"/>
  <c r="L681" i="7"/>
  <c r="L664" i="7"/>
  <c r="L663" i="7"/>
  <c r="L660" i="7"/>
  <c r="L658" i="7"/>
  <c r="L657" i="7"/>
  <c r="L655" i="7" s="1"/>
  <c r="L651" i="7"/>
  <c r="L650" i="7"/>
  <c r="L646" i="7"/>
  <c r="AW636" i="7"/>
  <c r="AT636" i="7"/>
  <c r="AO636" i="7"/>
  <c r="AE636" i="7"/>
  <c r="AD636" i="7"/>
  <c r="CB636" i="7"/>
  <c r="CC636" i="7"/>
  <c r="G635" i="7"/>
  <c r="E635" i="7"/>
  <c r="G634" i="7"/>
  <c r="E634" i="7"/>
  <c r="L631" i="7"/>
  <c r="J631" i="7"/>
  <c r="G631" i="7"/>
  <c r="L630" i="7"/>
  <c r="L629" i="7" s="1"/>
  <c r="J630" i="7"/>
  <c r="G630" i="7"/>
  <c r="C628" i="7"/>
  <c r="E627" i="7"/>
  <c r="G627" i="7"/>
  <c r="D627" i="7"/>
  <c r="C627" i="7"/>
  <c r="AW626" i="7"/>
  <c r="AT626" i="7"/>
  <c r="AO626" i="7"/>
  <c r="AE626" i="7"/>
  <c r="AD626" i="7"/>
  <c r="CB626" i="7"/>
  <c r="CC626" i="7"/>
  <c r="G625" i="7"/>
  <c r="E625" i="7"/>
  <c r="G624" i="7"/>
  <c r="E624" i="7"/>
  <c r="L621" i="7"/>
  <c r="J621" i="7"/>
  <c r="G621" i="7"/>
  <c r="L620" i="7"/>
  <c r="L619" i="7" s="1"/>
  <c r="J620" i="7"/>
  <c r="G620" i="7"/>
  <c r="E618" i="7"/>
  <c r="G618" i="7"/>
  <c r="D618" i="7"/>
  <c r="C618" i="7"/>
  <c r="AW617" i="7"/>
  <c r="AT617" i="7"/>
  <c r="AO617" i="7"/>
  <c r="AE617" i="7"/>
  <c r="AD617" i="7"/>
  <c r="CB617" i="7"/>
  <c r="CC617" i="7"/>
  <c r="G616" i="7"/>
  <c r="E616" i="7"/>
  <c r="G615" i="7"/>
  <c r="E615" i="7"/>
  <c r="L612" i="7"/>
  <c r="J612" i="7"/>
  <c r="G612" i="7"/>
  <c r="L611" i="7"/>
  <c r="L610" i="7" s="1"/>
  <c r="J611" i="7"/>
  <c r="G611" i="7"/>
  <c r="E609" i="7"/>
  <c r="G609" i="7"/>
  <c r="D609" i="7"/>
  <c r="C609" i="7"/>
  <c r="AW608" i="7"/>
  <c r="AT608" i="7"/>
  <c r="AO608" i="7"/>
  <c r="AE608" i="7"/>
  <c r="AD608" i="7"/>
  <c r="CB608" i="7"/>
  <c r="CC608" i="7"/>
  <c r="G607" i="7"/>
  <c r="E607" i="7"/>
  <c r="G606" i="7"/>
  <c r="E606" i="7"/>
  <c r="L603" i="7"/>
  <c r="J603" i="7"/>
  <c r="G603" i="7"/>
  <c r="L602" i="7"/>
  <c r="L601" i="7" s="1"/>
  <c r="J602" i="7"/>
  <c r="G602" i="7"/>
  <c r="E600" i="7"/>
  <c r="G600" i="7"/>
  <c r="D600" i="7"/>
  <c r="C600" i="7"/>
  <c r="AW599" i="7"/>
  <c r="AT599" i="7"/>
  <c r="AO599" i="7"/>
  <c r="AE599" i="7"/>
  <c r="AD599" i="7"/>
  <c r="CB599" i="7"/>
  <c r="CC599" i="7"/>
  <c r="G598" i="7"/>
  <c r="E598" i="7"/>
  <c r="G597" i="7"/>
  <c r="E597" i="7"/>
  <c r="L594" i="7"/>
  <c r="J594" i="7"/>
  <c r="G594" i="7"/>
  <c r="L593" i="7"/>
  <c r="L592" i="7" s="1"/>
  <c r="J593" i="7"/>
  <c r="G593" i="7"/>
  <c r="E591" i="7"/>
  <c r="G591" i="7"/>
  <c r="D591" i="7"/>
  <c r="C591" i="7"/>
  <c r="AW590" i="7"/>
  <c r="AT590" i="7"/>
  <c r="AO590" i="7"/>
  <c r="AE590" i="7"/>
  <c r="AD590" i="7"/>
  <c r="CB590" i="7"/>
  <c r="CC590" i="7"/>
  <c r="G589" i="7"/>
  <c r="E589" i="7"/>
  <c r="G588" i="7"/>
  <c r="E588" i="7"/>
  <c r="L585" i="7"/>
  <c r="J585" i="7"/>
  <c r="G585" i="7"/>
  <c r="L584" i="7"/>
  <c r="L583" i="7" s="1"/>
  <c r="J584" i="7"/>
  <c r="G584" i="7"/>
  <c r="E582" i="7"/>
  <c r="G582" i="7"/>
  <c r="D582" i="7"/>
  <c r="C582" i="7"/>
  <c r="G578" i="7"/>
  <c r="G577" i="7"/>
  <c r="L576" i="7"/>
  <c r="L575" i="7"/>
  <c r="L572" i="7"/>
  <c r="L570" i="7"/>
  <c r="L569" i="7"/>
  <c r="L567" i="7" s="1"/>
  <c r="L563" i="7"/>
  <c r="L562" i="7"/>
  <c r="L558" i="7"/>
  <c r="AT548" i="7"/>
  <c r="AR548" i="7"/>
  <c r="AO548" i="7"/>
  <c r="BA548" i="7"/>
  <c r="AZ548" i="7"/>
  <c r="AE548" i="7"/>
  <c r="AD548" i="7"/>
  <c r="L547" i="7"/>
  <c r="I547" i="7"/>
  <c r="H547" i="7"/>
  <c r="J547" i="7" s="1"/>
  <c r="E547" i="7"/>
  <c r="G547" i="7"/>
  <c r="D547" i="7"/>
  <c r="C547" i="7"/>
  <c r="B547" i="7"/>
  <c r="AT546" i="7"/>
  <c r="AR546" i="7"/>
  <c r="AO546" i="7"/>
  <c r="BA546" i="7"/>
  <c r="AZ546" i="7"/>
  <c r="AE546" i="7"/>
  <c r="AD546" i="7"/>
  <c r="C545" i="7"/>
  <c r="L544" i="7"/>
  <c r="I544" i="7"/>
  <c r="H544" i="7"/>
  <c r="J544" i="7" s="1"/>
  <c r="E544" i="7"/>
  <c r="G544" i="7"/>
  <c r="D544" i="7"/>
  <c r="C544" i="7"/>
  <c r="B544" i="7"/>
  <c r="AT543" i="7"/>
  <c r="AR543" i="7"/>
  <c r="AO543" i="7"/>
  <c r="BA543" i="7"/>
  <c r="AZ543" i="7"/>
  <c r="AE543" i="7"/>
  <c r="AD543" i="7"/>
  <c r="L542" i="7"/>
  <c r="J542" i="7"/>
  <c r="E542" i="7"/>
  <c r="G542" i="7"/>
  <c r="D542" i="7"/>
  <c r="C542" i="7"/>
  <c r="B542" i="7"/>
  <c r="AT541" i="7"/>
  <c r="AR541" i="7"/>
  <c r="AO541" i="7"/>
  <c r="BA541" i="7"/>
  <c r="AZ541" i="7"/>
  <c r="AE541" i="7"/>
  <c r="AD541" i="7"/>
  <c r="L540" i="7"/>
  <c r="I540" i="7"/>
  <c r="H540" i="7"/>
  <c r="J540" i="7" s="1"/>
  <c r="E540" i="7"/>
  <c r="G540" i="7"/>
  <c r="D540" i="7"/>
  <c r="C540" i="7"/>
  <c r="B540" i="7"/>
  <c r="AT539" i="7"/>
  <c r="AR539" i="7"/>
  <c r="AO539" i="7"/>
  <c r="BA539" i="7"/>
  <c r="AZ539" i="7"/>
  <c r="AE539" i="7"/>
  <c r="AD539" i="7"/>
  <c r="L538" i="7"/>
  <c r="I538" i="7"/>
  <c r="H538" i="7"/>
  <c r="J538" i="7" s="1"/>
  <c r="E538" i="7"/>
  <c r="G538" i="7"/>
  <c r="D538" i="7"/>
  <c r="C538" i="7"/>
  <c r="B538" i="7"/>
  <c r="AT537" i="7"/>
  <c r="AR537" i="7"/>
  <c r="AO537" i="7"/>
  <c r="BA537" i="7"/>
  <c r="AZ537" i="7"/>
  <c r="AE537" i="7"/>
  <c r="AD537" i="7"/>
  <c r="C536" i="7"/>
  <c r="L535" i="7"/>
  <c r="I535" i="7"/>
  <c r="H535" i="7"/>
  <c r="J535" i="7" s="1"/>
  <c r="E535" i="7"/>
  <c r="G535" i="7"/>
  <c r="D535" i="7"/>
  <c r="C535" i="7"/>
  <c r="B535" i="7"/>
  <c r="AT534" i="7"/>
  <c r="AR534" i="7"/>
  <c r="AO534" i="7"/>
  <c r="BA534" i="7"/>
  <c r="AZ534" i="7"/>
  <c r="AE534" i="7"/>
  <c r="AD534" i="7"/>
  <c r="L533" i="7"/>
  <c r="I533" i="7"/>
  <c r="H533" i="7"/>
  <c r="J533" i="7" s="1"/>
  <c r="E533" i="7"/>
  <c r="G533" i="7"/>
  <c r="D533" i="7"/>
  <c r="C533" i="7"/>
  <c r="B533" i="7"/>
  <c r="AT532" i="7"/>
  <c r="AR532" i="7"/>
  <c r="AO532" i="7"/>
  <c r="BA532" i="7"/>
  <c r="AZ532" i="7"/>
  <c r="AE532" i="7"/>
  <c r="AD532" i="7"/>
  <c r="C531" i="7"/>
  <c r="L530" i="7"/>
  <c r="I530" i="7"/>
  <c r="H530" i="7"/>
  <c r="J530" i="7" s="1"/>
  <c r="E530" i="7"/>
  <c r="G530" i="7"/>
  <c r="D530" i="7"/>
  <c r="C530" i="7"/>
  <c r="B530" i="7"/>
  <c r="AT529" i="7"/>
  <c r="AR529" i="7"/>
  <c r="AO529" i="7"/>
  <c r="BA529" i="7"/>
  <c r="AZ529" i="7"/>
  <c r="AE529" i="7"/>
  <c r="AD529" i="7"/>
  <c r="C528" i="7"/>
  <c r="L527" i="7"/>
  <c r="I527" i="7"/>
  <c r="H527" i="7"/>
  <c r="J527" i="7" s="1"/>
  <c r="E527" i="7"/>
  <c r="G527" i="7"/>
  <c r="D527" i="7"/>
  <c r="C527" i="7"/>
  <c r="B527" i="7"/>
  <c r="AT526" i="7"/>
  <c r="AR526" i="7"/>
  <c r="AO526" i="7"/>
  <c r="BA526" i="7"/>
  <c r="AZ526" i="7"/>
  <c r="AE526" i="7"/>
  <c r="AD526" i="7"/>
  <c r="C525" i="7"/>
  <c r="L524" i="7"/>
  <c r="I524" i="7"/>
  <c r="H524" i="7"/>
  <c r="J524" i="7" s="1"/>
  <c r="E524" i="7"/>
  <c r="G524" i="7"/>
  <c r="D524" i="7"/>
  <c r="C524" i="7"/>
  <c r="B524" i="7"/>
  <c r="AT523" i="7"/>
  <c r="AR523" i="7"/>
  <c r="AO523" i="7"/>
  <c r="BA523" i="7"/>
  <c r="AZ523" i="7"/>
  <c r="AE523" i="7"/>
  <c r="AD523" i="7"/>
  <c r="C522" i="7"/>
  <c r="L521" i="7"/>
  <c r="I521" i="7"/>
  <c r="H521" i="7"/>
  <c r="J521" i="7" s="1"/>
  <c r="E521" i="7"/>
  <c r="G521" i="7"/>
  <c r="D521" i="7"/>
  <c r="C521" i="7"/>
  <c r="B521" i="7"/>
  <c r="AT520" i="7"/>
  <c r="AR520" i="7"/>
  <c r="AO520" i="7"/>
  <c r="BA520" i="7"/>
  <c r="AZ520" i="7"/>
  <c r="AE520" i="7"/>
  <c r="AD520" i="7"/>
  <c r="L519" i="7"/>
  <c r="I519" i="7"/>
  <c r="H519" i="7"/>
  <c r="J519" i="7" s="1"/>
  <c r="E519" i="7"/>
  <c r="G519" i="7"/>
  <c r="D519" i="7"/>
  <c r="C519" i="7"/>
  <c r="B519" i="7"/>
  <c r="AT518" i="7"/>
  <c r="AR518" i="7"/>
  <c r="AO518" i="7"/>
  <c r="BA518" i="7"/>
  <c r="AZ518" i="7"/>
  <c r="AE518" i="7"/>
  <c r="AD518" i="7"/>
  <c r="C517" i="7"/>
  <c r="L516" i="7"/>
  <c r="I516" i="7"/>
  <c r="H516" i="7"/>
  <c r="J516" i="7" s="1"/>
  <c r="E516" i="7"/>
  <c r="G516" i="7"/>
  <c r="D516" i="7"/>
  <c r="C516" i="7"/>
  <c r="B516" i="7"/>
  <c r="AT515" i="7"/>
  <c r="AR515" i="7"/>
  <c r="AO515" i="7"/>
  <c r="BA515" i="7"/>
  <c r="AZ515" i="7"/>
  <c r="AE515" i="7"/>
  <c r="AD515" i="7"/>
  <c r="C514" i="7"/>
  <c r="L513" i="7"/>
  <c r="I513" i="7"/>
  <c r="H513" i="7"/>
  <c r="J513" i="7" s="1"/>
  <c r="E513" i="7"/>
  <c r="G513" i="7"/>
  <c r="D513" i="7"/>
  <c r="C513" i="7"/>
  <c r="B513" i="7"/>
  <c r="AT512" i="7"/>
  <c r="AR512" i="7"/>
  <c r="AO512" i="7"/>
  <c r="BA512" i="7"/>
  <c r="AZ512" i="7"/>
  <c r="AE512" i="7"/>
  <c r="AD512" i="7"/>
  <c r="C511" i="7"/>
  <c r="L510" i="7"/>
  <c r="J510" i="7"/>
  <c r="E510" i="7"/>
  <c r="G510" i="7"/>
  <c r="D510" i="7"/>
  <c r="C510" i="7"/>
  <c r="B510" i="7"/>
  <c r="AT509" i="7"/>
  <c r="AR509" i="7"/>
  <c r="AO509" i="7"/>
  <c r="BA509" i="7"/>
  <c r="AZ509" i="7"/>
  <c r="AE509" i="7"/>
  <c r="AD509" i="7"/>
  <c r="C508" i="7"/>
  <c r="L507" i="7"/>
  <c r="I507" i="7"/>
  <c r="H507" i="7"/>
  <c r="J507" i="7" s="1"/>
  <c r="E507" i="7"/>
  <c r="G507" i="7"/>
  <c r="D507" i="7"/>
  <c r="C507" i="7"/>
  <c r="B507" i="7"/>
  <c r="AT506" i="7"/>
  <c r="L557" i="7" s="1"/>
  <c r="AR506" i="7"/>
  <c r="AO506" i="7"/>
  <c r="L555" i="7" s="1"/>
  <c r="L553" i="7" s="1"/>
  <c r="BA506" i="7"/>
  <c r="L566" i="7" s="1"/>
  <c r="AZ506" i="7"/>
  <c r="L565" i="7" s="1"/>
  <c r="AE506" i="7"/>
  <c r="AD506" i="7"/>
  <c r="L505" i="7"/>
  <c r="I505" i="7"/>
  <c r="H505" i="7"/>
  <c r="J505" i="7" s="1"/>
  <c r="E505" i="7"/>
  <c r="G505" i="7"/>
  <c r="D505" i="7"/>
  <c r="C505" i="7"/>
  <c r="B505" i="7"/>
  <c r="L499" i="7"/>
  <c r="L498" i="7"/>
  <c r="L495" i="7"/>
  <c r="L493" i="7"/>
  <c r="L492" i="7"/>
  <c r="L490" i="7" s="1"/>
  <c r="L486" i="7"/>
  <c r="L485" i="7"/>
  <c r="L481" i="7"/>
  <c r="AE471" i="7"/>
  <c r="AD471" i="7"/>
  <c r="G470" i="7"/>
  <c r="E470" i="7"/>
  <c r="G469" i="7"/>
  <c r="E469" i="7"/>
  <c r="L466" i="7"/>
  <c r="I466" i="7"/>
  <c r="H466" i="7"/>
  <c r="J466" i="7" s="1"/>
  <c r="G466" i="7"/>
  <c r="L465" i="7"/>
  <c r="I465" i="7"/>
  <c r="H465" i="7"/>
  <c r="J465" i="7" s="1"/>
  <c r="G465" i="7"/>
  <c r="L464" i="7"/>
  <c r="L463" i="7" s="1"/>
  <c r="AW471" i="7" s="1"/>
  <c r="I464" i="7"/>
  <c r="H464" i="7"/>
  <c r="J464" i="7" s="1"/>
  <c r="G464" i="7"/>
  <c r="L462" i="7"/>
  <c r="J462" i="7"/>
  <c r="G462" i="7"/>
  <c r="L461" i="7"/>
  <c r="J461" i="7"/>
  <c r="G461" i="7"/>
  <c r="E461" i="7"/>
  <c r="L460" i="7"/>
  <c r="I460" i="7"/>
  <c r="H460" i="7"/>
  <c r="J460" i="7" s="1"/>
  <c r="G460" i="7"/>
  <c r="L459" i="7"/>
  <c r="L457" i="7" s="1"/>
  <c r="J459" i="7"/>
  <c r="G459" i="7"/>
  <c r="E459" i="7"/>
  <c r="L458" i="7"/>
  <c r="J458" i="7"/>
  <c r="G458" i="7"/>
  <c r="L455" i="7"/>
  <c r="L454" i="7" s="1"/>
  <c r="J455" i="7"/>
  <c r="G455" i="7"/>
  <c r="C453" i="7"/>
  <c r="E452" i="7"/>
  <c r="G452" i="7"/>
  <c r="D452" i="7"/>
  <c r="C452" i="7"/>
  <c r="AE451" i="7"/>
  <c r="AD451" i="7"/>
  <c r="G450" i="7"/>
  <c r="E450" i="7"/>
  <c r="G449" i="7"/>
  <c r="E449" i="7"/>
  <c r="L446" i="7"/>
  <c r="I446" i="7"/>
  <c r="H446" i="7"/>
  <c r="J446" i="7" s="1"/>
  <c r="G446" i="7"/>
  <c r="L445" i="7"/>
  <c r="L444" i="7" s="1"/>
  <c r="AW451" i="7" s="1"/>
  <c r="I445" i="7"/>
  <c r="H445" i="7"/>
  <c r="J445" i="7" s="1"/>
  <c r="G445" i="7"/>
  <c r="L443" i="7"/>
  <c r="J443" i="7"/>
  <c r="G443" i="7"/>
  <c r="L442" i="7"/>
  <c r="J442" i="7"/>
  <c r="G442" i="7"/>
  <c r="E442" i="7"/>
  <c r="L441" i="7"/>
  <c r="I441" i="7"/>
  <c r="H441" i="7"/>
  <c r="J441" i="7" s="1"/>
  <c r="G441" i="7"/>
  <c r="L440" i="7"/>
  <c r="L438" i="7" s="1"/>
  <c r="J440" i="7"/>
  <c r="G440" i="7"/>
  <c r="E440" i="7"/>
  <c r="L439" i="7"/>
  <c r="J439" i="7"/>
  <c r="G439" i="7"/>
  <c r="L436" i="7"/>
  <c r="L435" i="7" s="1"/>
  <c r="J436" i="7"/>
  <c r="G436" i="7"/>
  <c r="C434" i="7"/>
  <c r="E433" i="7"/>
  <c r="G433" i="7"/>
  <c r="D433" i="7"/>
  <c r="C433" i="7"/>
  <c r="AE432" i="7"/>
  <c r="AD432" i="7"/>
  <c r="G431" i="7"/>
  <c r="E431" i="7"/>
  <c r="G430" i="7"/>
  <c r="E430" i="7"/>
  <c r="L427" i="7"/>
  <c r="I427" i="7"/>
  <c r="H427" i="7"/>
  <c r="J427" i="7" s="1"/>
  <c r="G427" i="7"/>
  <c r="L426" i="7"/>
  <c r="I426" i="7"/>
  <c r="H426" i="7"/>
  <c r="J426" i="7" s="1"/>
  <c r="G426" i="7"/>
  <c r="L425" i="7"/>
  <c r="I425" i="7"/>
  <c r="H425" i="7"/>
  <c r="J425" i="7" s="1"/>
  <c r="G425" i="7"/>
  <c r="L424" i="7"/>
  <c r="I424" i="7"/>
  <c r="H424" i="7"/>
  <c r="J424" i="7" s="1"/>
  <c r="G424" i="7"/>
  <c r="L423" i="7"/>
  <c r="L422" i="7" s="1"/>
  <c r="AW432" i="7" s="1"/>
  <c r="I423" i="7"/>
  <c r="H423" i="7"/>
  <c r="J423" i="7" s="1"/>
  <c r="G423" i="7"/>
  <c r="L421" i="7"/>
  <c r="J421" i="7"/>
  <c r="G421" i="7"/>
  <c r="E421" i="7"/>
  <c r="L420" i="7"/>
  <c r="I420" i="7"/>
  <c r="H420" i="7"/>
  <c r="J420" i="7" s="1"/>
  <c r="G420" i="7"/>
  <c r="L419" i="7"/>
  <c r="J419" i="7"/>
  <c r="G419" i="7"/>
  <c r="E419" i="7"/>
  <c r="L418" i="7"/>
  <c r="I418" i="7"/>
  <c r="H418" i="7"/>
  <c r="J418" i="7" s="1"/>
  <c r="G418" i="7"/>
  <c r="L417" i="7"/>
  <c r="L415" i="7" s="1"/>
  <c r="J417" i="7"/>
  <c r="G417" i="7"/>
  <c r="E417" i="7"/>
  <c r="L416" i="7"/>
  <c r="J416" i="7"/>
  <c r="G416" i="7"/>
  <c r="L413" i="7"/>
  <c r="L412" i="7" s="1"/>
  <c r="J413" i="7"/>
  <c r="G413" i="7"/>
  <c r="E411" i="7"/>
  <c r="G411" i="7"/>
  <c r="D411" i="7"/>
  <c r="C411" i="7"/>
  <c r="AE410" i="7"/>
  <c r="AD410" i="7"/>
  <c r="G409" i="7"/>
  <c r="E409" i="7"/>
  <c r="G408" i="7"/>
  <c r="E408" i="7"/>
  <c r="L405" i="7"/>
  <c r="I405" i="7"/>
  <c r="H405" i="7"/>
  <c r="J405" i="7" s="1"/>
  <c r="G405" i="7"/>
  <c r="L404" i="7"/>
  <c r="L403" i="7" s="1"/>
  <c r="AW410" i="7" s="1"/>
  <c r="I404" i="7"/>
  <c r="H404" i="7"/>
  <c r="J404" i="7" s="1"/>
  <c r="G404" i="7"/>
  <c r="L402" i="7"/>
  <c r="J402" i="7"/>
  <c r="G402" i="7"/>
  <c r="E402" i="7"/>
  <c r="L401" i="7"/>
  <c r="I401" i="7"/>
  <c r="H401" i="7"/>
  <c r="J401" i="7" s="1"/>
  <c r="G401" i="7"/>
  <c r="L400" i="7"/>
  <c r="L398" i="7" s="1"/>
  <c r="J400" i="7"/>
  <c r="G400" i="7"/>
  <c r="E400" i="7"/>
  <c r="L399" i="7"/>
  <c r="I399" i="7"/>
  <c r="H399" i="7"/>
  <c r="J399" i="7" s="1"/>
  <c r="G399" i="7"/>
  <c r="L396" i="7"/>
  <c r="L395" i="7" s="1"/>
  <c r="J396" i="7"/>
  <c r="G396" i="7"/>
  <c r="E394" i="7"/>
  <c r="G394" i="7"/>
  <c r="D394" i="7"/>
  <c r="C394" i="7"/>
  <c r="AE393" i="7"/>
  <c r="AD393" i="7"/>
  <c r="G392" i="7"/>
  <c r="E392" i="7"/>
  <c r="G391" i="7"/>
  <c r="E391" i="7"/>
  <c r="L388" i="7"/>
  <c r="I388" i="7"/>
  <c r="H388" i="7"/>
  <c r="J388" i="7" s="1"/>
  <c r="G388" i="7"/>
  <c r="L387" i="7"/>
  <c r="I387" i="7"/>
  <c r="H387" i="7"/>
  <c r="J387" i="7" s="1"/>
  <c r="G387" i="7"/>
  <c r="L386" i="7"/>
  <c r="L385" i="7" s="1"/>
  <c r="AW393" i="7" s="1"/>
  <c r="I386" i="7"/>
  <c r="H386" i="7"/>
  <c r="J386" i="7" s="1"/>
  <c r="G386" i="7"/>
  <c r="L384" i="7"/>
  <c r="J384" i="7"/>
  <c r="G384" i="7"/>
  <c r="L383" i="7"/>
  <c r="J383" i="7"/>
  <c r="G383" i="7"/>
  <c r="E383" i="7"/>
  <c r="L382" i="7"/>
  <c r="I382" i="7"/>
  <c r="H382" i="7"/>
  <c r="J382" i="7" s="1"/>
  <c r="G382" i="7"/>
  <c r="L381" i="7"/>
  <c r="L379" i="7" s="1"/>
  <c r="J381" i="7"/>
  <c r="G381" i="7"/>
  <c r="E381" i="7"/>
  <c r="L380" i="7"/>
  <c r="J380" i="7"/>
  <c r="G380" i="7"/>
  <c r="L377" i="7"/>
  <c r="L376" i="7" s="1"/>
  <c r="J377" i="7"/>
  <c r="G377" i="7"/>
  <c r="C375" i="7"/>
  <c r="E374" i="7"/>
  <c r="G374" i="7"/>
  <c r="D374" i="7"/>
  <c r="C374" i="7"/>
  <c r="AE373" i="7"/>
  <c r="AD373" i="7"/>
  <c r="G372" i="7"/>
  <c r="E372" i="7"/>
  <c r="G371" i="7"/>
  <c r="E371" i="7"/>
  <c r="L368" i="7"/>
  <c r="AW373" i="7" s="1"/>
  <c r="L367" i="7"/>
  <c r="J367" i="7"/>
  <c r="G367" i="7"/>
  <c r="E367" i="7"/>
  <c r="L366" i="7"/>
  <c r="J366" i="7"/>
  <c r="G366" i="7"/>
  <c r="L365" i="7"/>
  <c r="J365" i="7"/>
  <c r="G365" i="7"/>
  <c r="E365" i="7"/>
  <c r="L364" i="7"/>
  <c r="I364" i="7"/>
  <c r="H364" i="7"/>
  <c r="J364" i="7" s="1"/>
  <c r="G364" i="7"/>
  <c r="L363" i="7"/>
  <c r="J363" i="7"/>
  <c r="G363" i="7"/>
  <c r="E363" i="7"/>
  <c r="L362" i="7"/>
  <c r="I362" i="7"/>
  <c r="H362" i="7"/>
  <c r="J362" i="7" s="1"/>
  <c r="G362" i="7"/>
  <c r="L361" i="7"/>
  <c r="J361" i="7"/>
  <c r="G361" i="7"/>
  <c r="L360" i="7"/>
  <c r="L358" i="7" s="1"/>
  <c r="J360" i="7"/>
  <c r="G360" i="7"/>
  <c r="E360" i="7"/>
  <c r="L359" i="7"/>
  <c r="J359" i="7"/>
  <c r="G359" i="7"/>
  <c r="L356" i="7"/>
  <c r="J356" i="7"/>
  <c r="G356" i="7"/>
  <c r="L355" i="7"/>
  <c r="J355" i="7"/>
  <c r="G355" i="7"/>
  <c r="L354" i="7"/>
  <c r="J354" i="7"/>
  <c r="G354" i="7"/>
  <c r="L353" i="7"/>
  <c r="L352" i="7" s="1"/>
  <c r="J353" i="7"/>
  <c r="G353" i="7"/>
  <c r="C351" i="7"/>
  <c r="E350" i="7"/>
  <c r="G350" i="7"/>
  <c r="D350" i="7"/>
  <c r="C350" i="7"/>
  <c r="AE349" i="7"/>
  <c r="AD349" i="7"/>
  <c r="G348" i="7"/>
  <c r="E348" i="7"/>
  <c r="G347" i="7"/>
  <c r="E347" i="7"/>
  <c r="L344" i="7"/>
  <c r="AW349" i="7" s="1"/>
  <c r="L343" i="7"/>
  <c r="L341" i="7" s="1"/>
  <c r="J343" i="7"/>
  <c r="G343" i="7"/>
  <c r="E343" i="7"/>
  <c r="L342" i="7"/>
  <c r="J342" i="7"/>
  <c r="G342" i="7"/>
  <c r="L339" i="7"/>
  <c r="L338" i="7" s="1"/>
  <c r="J339" i="7"/>
  <c r="G339" i="7"/>
  <c r="E337" i="7"/>
  <c r="G337" i="7"/>
  <c r="D337" i="7"/>
  <c r="C337" i="7"/>
  <c r="AE336" i="7"/>
  <c r="AD336" i="7"/>
  <c r="G335" i="7"/>
  <c r="E335" i="7"/>
  <c r="G334" i="7"/>
  <c r="E334" i="7"/>
  <c r="L331" i="7"/>
  <c r="I331" i="7"/>
  <c r="H331" i="7"/>
  <c r="J331" i="7" s="1"/>
  <c r="G331" i="7"/>
  <c r="L330" i="7"/>
  <c r="I330" i="7"/>
  <c r="H330" i="7"/>
  <c r="J330" i="7" s="1"/>
  <c r="G330" i="7"/>
  <c r="L329" i="7"/>
  <c r="I329" i="7"/>
  <c r="H329" i="7"/>
  <c r="J329" i="7" s="1"/>
  <c r="G329" i="7"/>
  <c r="L328" i="7"/>
  <c r="I328" i="7"/>
  <c r="H328" i="7"/>
  <c r="J328" i="7" s="1"/>
  <c r="G328" i="7"/>
  <c r="L327" i="7"/>
  <c r="I327" i="7"/>
  <c r="H327" i="7"/>
  <c r="J327" i="7" s="1"/>
  <c r="G327" i="7"/>
  <c r="L326" i="7"/>
  <c r="I326" i="7"/>
  <c r="H326" i="7"/>
  <c r="J326" i="7" s="1"/>
  <c r="G326" i="7"/>
  <c r="L325" i="7"/>
  <c r="L324" i="7" s="1"/>
  <c r="AW336" i="7" s="1"/>
  <c r="I325" i="7"/>
  <c r="H325" i="7"/>
  <c r="J325" i="7" s="1"/>
  <c r="G325" i="7"/>
  <c r="L323" i="7"/>
  <c r="J323" i="7"/>
  <c r="G323" i="7"/>
  <c r="E323" i="7"/>
  <c r="L322" i="7"/>
  <c r="I322" i="7"/>
  <c r="H322" i="7"/>
  <c r="J322" i="7" s="1"/>
  <c r="G322" i="7"/>
  <c r="L321" i="7"/>
  <c r="L319" i="7" s="1"/>
  <c r="J321" i="7"/>
  <c r="G321" i="7"/>
  <c r="E321" i="7"/>
  <c r="L320" i="7"/>
  <c r="I320" i="7"/>
  <c r="H320" i="7"/>
  <c r="J320" i="7" s="1"/>
  <c r="G320" i="7"/>
  <c r="L317" i="7"/>
  <c r="L316" i="7" s="1"/>
  <c r="J317" i="7"/>
  <c r="G317" i="7"/>
  <c r="E315" i="7"/>
  <c r="G315" i="7"/>
  <c r="D315" i="7"/>
  <c r="C315" i="7"/>
  <c r="AE314" i="7"/>
  <c r="AD314" i="7"/>
  <c r="G313" i="7"/>
  <c r="E313" i="7"/>
  <c r="G312" i="7"/>
  <c r="E312" i="7"/>
  <c r="L309" i="7"/>
  <c r="I309" i="7"/>
  <c r="H309" i="7"/>
  <c r="J309" i="7" s="1"/>
  <c r="G309" i="7"/>
  <c r="L308" i="7"/>
  <c r="I308" i="7"/>
  <c r="H308" i="7"/>
  <c r="J308" i="7" s="1"/>
  <c r="G308" i="7"/>
  <c r="L307" i="7"/>
  <c r="I307" i="7"/>
  <c r="H307" i="7"/>
  <c r="J307" i="7" s="1"/>
  <c r="G307" i="7"/>
  <c r="L306" i="7"/>
  <c r="I306" i="7"/>
  <c r="H306" i="7"/>
  <c r="J306" i="7" s="1"/>
  <c r="G306" i="7"/>
  <c r="L305" i="7"/>
  <c r="I305" i="7"/>
  <c r="H305" i="7"/>
  <c r="J305" i="7" s="1"/>
  <c r="G305" i="7"/>
  <c r="L304" i="7"/>
  <c r="I304" i="7"/>
  <c r="H304" i="7"/>
  <c r="J304" i="7" s="1"/>
  <c r="G304" i="7"/>
  <c r="L303" i="7"/>
  <c r="L302" i="7" s="1"/>
  <c r="AW314" i="7" s="1"/>
  <c r="I303" i="7"/>
  <c r="H303" i="7"/>
  <c r="J303" i="7" s="1"/>
  <c r="G303" i="7"/>
  <c r="L301" i="7"/>
  <c r="J301" i="7"/>
  <c r="G301" i="7"/>
  <c r="E301" i="7"/>
  <c r="L300" i="7"/>
  <c r="I300" i="7"/>
  <c r="H300" i="7"/>
  <c r="J300" i="7" s="1"/>
  <c r="G300" i="7"/>
  <c r="L299" i="7"/>
  <c r="L297" i="7" s="1"/>
  <c r="J299" i="7"/>
  <c r="G299" i="7"/>
  <c r="E299" i="7"/>
  <c r="L298" i="7"/>
  <c r="I298" i="7"/>
  <c r="H298" i="7"/>
  <c r="J298" i="7" s="1"/>
  <c r="G298" i="7"/>
  <c r="L295" i="7"/>
  <c r="L294" i="7" s="1"/>
  <c r="J295" i="7"/>
  <c r="G295" i="7"/>
  <c r="E293" i="7"/>
  <c r="G293" i="7"/>
  <c r="D293" i="7"/>
  <c r="C293" i="7"/>
  <c r="AW292" i="7"/>
  <c r="AE292" i="7"/>
  <c r="AD292" i="7"/>
  <c r="G291" i="7"/>
  <c r="E291" i="7"/>
  <c r="G290" i="7"/>
  <c r="E290" i="7"/>
  <c r="L287" i="7"/>
  <c r="L284" i="7" s="1"/>
  <c r="J287" i="7"/>
  <c r="G287" i="7"/>
  <c r="E287" i="7"/>
  <c r="L286" i="7"/>
  <c r="I286" i="7"/>
  <c r="H286" i="7"/>
  <c r="J286" i="7" s="1"/>
  <c r="G286" i="7"/>
  <c r="L285" i="7"/>
  <c r="J285" i="7"/>
  <c r="G285" i="7"/>
  <c r="L282" i="7"/>
  <c r="L281" i="7" s="1"/>
  <c r="J282" i="7"/>
  <c r="G282" i="7"/>
  <c r="E280" i="7"/>
  <c r="G280" i="7"/>
  <c r="D280" i="7"/>
  <c r="C280" i="7"/>
  <c r="AW279" i="7"/>
  <c r="L484" i="7" s="1"/>
  <c r="L482" i="7" s="1"/>
  <c r="AE279" i="7"/>
  <c r="AD279" i="7"/>
  <c r="G278" i="7"/>
  <c r="E278" i="7"/>
  <c r="G277" i="7"/>
  <c r="E277" i="7"/>
  <c r="L274" i="7"/>
  <c r="J274" i="7"/>
  <c r="G274" i="7"/>
  <c r="E274" i="7"/>
  <c r="L273" i="7"/>
  <c r="I273" i="7"/>
  <c r="H273" i="7"/>
  <c r="J273" i="7" s="1"/>
  <c r="G273" i="7"/>
  <c r="L272" i="7"/>
  <c r="J272" i="7"/>
  <c r="G272" i="7"/>
  <c r="L271" i="7"/>
  <c r="L269" i="7" s="1"/>
  <c r="J271" i="7"/>
  <c r="G271" i="7"/>
  <c r="E271" i="7"/>
  <c r="L270" i="7"/>
  <c r="J270" i="7"/>
  <c r="G270" i="7"/>
  <c r="L267" i="7"/>
  <c r="L266" i="7" s="1"/>
  <c r="J267" i="7"/>
  <c r="G267" i="7"/>
  <c r="E265" i="7"/>
  <c r="G265" i="7"/>
  <c r="D265" i="7"/>
  <c r="C265" i="7"/>
  <c r="L259" i="7"/>
  <c r="L258" i="7"/>
  <c r="L255" i="7"/>
  <c r="L253" i="7"/>
  <c r="L252" i="7"/>
  <c r="L250" i="7" s="1"/>
  <c r="L246" i="7"/>
  <c r="L245" i="7"/>
  <c r="L241" i="7"/>
  <c r="AE231" i="7"/>
  <c r="AD231" i="7"/>
  <c r="G230" i="7"/>
  <c r="E230" i="7"/>
  <c r="G229" i="7"/>
  <c r="E229" i="7"/>
  <c r="L226" i="7"/>
  <c r="I226" i="7"/>
  <c r="H226" i="7"/>
  <c r="J226" i="7" s="1"/>
  <c r="G226" i="7"/>
  <c r="F226" i="7"/>
  <c r="L225" i="7"/>
  <c r="I225" i="7"/>
  <c r="H225" i="7"/>
  <c r="J225" i="7" s="1"/>
  <c r="G225" i="7"/>
  <c r="F225" i="7"/>
  <c r="L224" i="7"/>
  <c r="L223" i="7" s="1"/>
  <c r="AW231" i="7" s="1"/>
  <c r="I224" i="7"/>
  <c r="H224" i="7"/>
  <c r="J224" i="7" s="1"/>
  <c r="G224" i="7"/>
  <c r="F224" i="7"/>
  <c r="L222" i="7"/>
  <c r="J222" i="7"/>
  <c r="G222" i="7"/>
  <c r="F222" i="7"/>
  <c r="L221" i="7"/>
  <c r="J221" i="7"/>
  <c r="G221" i="7"/>
  <c r="F221" i="7"/>
  <c r="E221" i="7"/>
  <c r="L220" i="7"/>
  <c r="I220" i="7"/>
  <c r="H220" i="7"/>
  <c r="J220" i="7" s="1"/>
  <c r="G220" i="7"/>
  <c r="F220" i="7"/>
  <c r="L219" i="7"/>
  <c r="L217" i="7" s="1"/>
  <c r="J219" i="7"/>
  <c r="G219" i="7"/>
  <c r="F219" i="7"/>
  <c r="E219" i="7"/>
  <c r="L218" i="7"/>
  <c r="J218" i="7"/>
  <c r="G218" i="7"/>
  <c r="F218" i="7"/>
  <c r="L215" i="7"/>
  <c r="L214" i="7" s="1"/>
  <c r="J215" i="7"/>
  <c r="G215" i="7"/>
  <c r="F215" i="7"/>
  <c r="C213" i="7"/>
  <c r="E211" i="7"/>
  <c r="G211" i="7"/>
  <c r="D211" i="7"/>
  <c r="C211" i="7"/>
  <c r="AE210" i="7"/>
  <c r="AD210" i="7"/>
  <c r="G209" i="7"/>
  <c r="E209" i="7"/>
  <c r="G208" i="7"/>
  <c r="E208" i="7"/>
  <c r="L205" i="7"/>
  <c r="I205" i="7"/>
  <c r="H205" i="7"/>
  <c r="J205" i="7" s="1"/>
  <c r="G205" i="7"/>
  <c r="F205" i="7"/>
  <c r="L204" i="7"/>
  <c r="L203" i="7" s="1"/>
  <c r="AW210" i="7" s="1"/>
  <c r="I204" i="7"/>
  <c r="H204" i="7"/>
  <c r="J204" i="7" s="1"/>
  <c r="G204" i="7"/>
  <c r="F204" i="7"/>
  <c r="L202" i="7"/>
  <c r="J202" i="7"/>
  <c r="G202" i="7"/>
  <c r="F202" i="7"/>
  <c r="L201" i="7"/>
  <c r="J201" i="7"/>
  <c r="G201" i="7"/>
  <c r="F201" i="7"/>
  <c r="E201" i="7"/>
  <c r="L200" i="7"/>
  <c r="I200" i="7"/>
  <c r="H200" i="7"/>
  <c r="J200" i="7" s="1"/>
  <c r="G200" i="7"/>
  <c r="F200" i="7"/>
  <c r="L199" i="7"/>
  <c r="L197" i="7" s="1"/>
  <c r="J199" i="7"/>
  <c r="G199" i="7"/>
  <c r="F199" i="7"/>
  <c r="E199" i="7"/>
  <c r="L198" i="7"/>
  <c r="J198" i="7"/>
  <c r="G198" i="7"/>
  <c r="F198" i="7"/>
  <c r="L195" i="7"/>
  <c r="L194" i="7" s="1"/>
  <c r="J195" i="7"/>
  <c r="G195" i="7"/>
  <c r="F195" i="7"/>
  <c r="C193" i="7"/>
  <c r="E191" i="7"/>
  <c r="G191" i="7"/>
  <c r="D191" i="7"/>
  <c r="C191" i="7"/>
  <c r="AE190" i="7"/>
  <c r="AD190" i="7"/>
  <c r="G189" i="7"/>
  <c r="E189" i="7"/>
  <c r="G188" i="7"/>
  <c r="E188" i="7"/>
  <c r="L185" i="7"/>
  <c r="I185" i="7"/>
  <c r="H185" i="7"/>
  <c r="J185" i="7" s="1"/>
  <c r="G185" i="7"/>
  <c r="F185" i="7"/>
  <c r="L184" i="7"/>
  <c r="I184" i="7"/>
  <c r="H184" i="7"/>
  <c r="J184" i="7" s="1"/>
  <c r="G184" i="7"/>
  <c r="F184" i="7"/>
  <c r="L183" i="7"/>
  <c r="I183" i="7"/>
  <c r="H183" i="7"/>
  <c r="J183" i="7" s="1"/>
  <c r="G183" i="7"/>
  <c r="F183" i="7"/>
  <c r="L182" i="7"/>
  <c r="I182" i="7"/>
  <c r="H182" i="7"/>
  <c r="J182" i="7" s="1"/>
  <c r="G182" i="7"/>
  <c r="F182" i="7"/>
  <c r="L181" i="7"/>
  <c r="L180" i="7" s="1"/>
  <c r="AW190" i="7" s="1"/>
  <c r="I181" i="7"/>
  <c r="H181" i="7"/>
  <c r="J181" i="7" s="1"/>
  <c r="G181" i="7"/>
  <c r="F181" i="7"/>
  <c r="L179" i="7"/>
  <c r="J179" i="7"/>
  <c r="G179" i="7"/>
  <c r="F179" i="7"/>
  <c r="E179" i="7"/>
  <c r="L178" i="7"/>
  <c r="I178" i="7"/>
  <c r="H178" i="7"/>
  <c r="J178" i="7" s="1"/>
  <c r="G178" i="7"/>
  <c r="F178" i="7"/>
  <c r="L177" i="7"/>
  <c r="J177" i="7"/>
  <c r="G177" i="7"/>
  <c r="F177" i="7"/>
  <c r="E177" i="7"/>
  <c r="L176" i="7"/>
  <c r="I176" i="7"/>
  <c r="H176" i="7"/>
  <c r="J176" i="7" s="1"/>
  <c r="G176" i="7"/>
  <c r="F176" i="7"/>
  <c r="L175" i="7"/>
  <c r="L173" i="7" s="1"/>
  <c r="J175" i="7"/>
  <c r="G175" i="7"/>
  <c r="F175" i="7"/>
  <c r="E175" i="7"/>
  <c r="L174" i="7"/>
  <c r="J174" i="7"/>
  <c r="G174" i="7"/>
  <c r="F174" i="7"/>
  <c r="L171" i="7"/>
  <c r="L170" i="7" s="1"/>
  <c r="J171" i="7"/>
  <c r="G171" i="7"/>
  <c r="F171" i="7"/>
  <c r="E168" i="7"/>
  <c r="G168" i="7"/>
  <c r="D168" i="7"/>
  <c r="C168" i="7"/>
  <c r="AE167" i="7"/>
  <c r="AD167" i="7"/>
  <c r="G166" i="7"/>
  <c r="E166" i="7"/>
  <c r="G165" i="7"/>
  <c r="E165" i="7"/>
  <c r="L162" i="7"/>
  <c r="L161" i="7" s="1"/>
  <c r="AW167" i="7" s="1"/>
  <c r="I162" i="7"/>
  <c r="H162" i="7"/>
  <c r="J162" i="7" s="1"/>
  <c r="G162" i="7"/>
  <c r="F162" i="7"/>
  <c r="L160" i="7"/>
  <c r="J160" i="7"/>
  <c r="G160" i="7"/>
  <c r="F160" i="7"/>
  <c r="E160" i="7"/>
  <c r="L159" i="7"/>
  <c r="I159" i="7"/>
  <c r="H159" i="7"/>
  <c r="J159" i="7" s="1"/>
  <c r="G159" i="7"/>
  <c r="F159" i="7"/>
  <c r="L158" i="7"/>
  <c r="L156" i="7" s="1"/>
  <c r="J158" i="7"/>
  <c r="G158" i="7"/>
  <c r="F158" i="7"/>
  <c r="E158" i="7"/>
  <c r="L157" i="7"/>
  <c r="J157" i="7"/>
  <c r="G157" i="7"/>
  <c r="F157" i="7"/>
  <c r="L154" i="7"/>
  <c r="L153" i="7" s="1"/>
  <c r="J154" i="7"/>
  <c r="G154" i="7"/>
  <c r="F154" i="7"/>
  <c r="E151" i="7"/>
  <c r="G151" i="7"/>
  <c r="D151" i="7"/>
  <c r="C151" i="7"/>
  <c r="AE150" i="7"/>
  <c r="AD150" i="7"/>
  <c r="G149" i="7"/>
  <c r="E149" i="7"/>
  <c r="G148" i="7"/>
  <c r="E148" i="7"/>
  <c r="L145" i="7"/>
  <c r="AW150" i="7" s="1"/>
  <c r="L144" i="7"/>
  <c r="L142" i="7" s="1"/>
  <c r="J144" i="7"/>
  <c r="G144" i="7"/>
  <c r="F144" i="7"/>
  <c r="E144" i="7"/>
  <c r="L143" i="7"/>
  <c r="J143" i="7"/>
  <c r="G143" i="7"/>
  <c r="F143" i="7"/>
  <c r="L140" i="7"/>
  <c r="L139" i="7" s="1"/>
  <c r="J140" i="7"/>
  <c r="G140" i="7"/>
  <c r="F140" i="7"/>
  <c r="E137" i="7"/>
  <c r="G137" i="7"/>
  <c r="D137" i="7"/>
  <c r="C137" i="7"/>
  <c r="AW136" i="7"/>
  <c r="AE136" i="7"/>
  <c r="AD136" i="7"/>
  <c r="G135" i="7"/>
  <c r="E135" i="7"/>
  <c r="G134" i="7"/>
  <c r="E134" i="7"/>
  <c r="L131" i="7"/>
  <c r="L129" i="7" s="1"/>
  <c r="J131" i="7"/>
  <c r="G131" i="7"/>
  <c r="E131" i="7"/>
  <c r="L130" i="7"/>
  <c r="I130" i="7"/>
  <c r="H130" i="7"/>
  <c r="J130" i="7" s="1"/>
  <c r="G130" i="7"/>
  <c r="L127" i="7"/>
  <c r="L126" i="7" s="1"/>
  <c r="J127" i="7"/>
  <c r="G127" i="7"/>
  <c r="E125" i="7"/>
  <c r="G125" i="7"/>
  <c r="D125" i="7"/>
  <c r="C125" i="7"/>
  <c r="AW124" i="7"/>
  <c r="AE124" i="7"/>
  <c r="AD124" i="7"/>
  <c r="G123" i="7"/>
  <c r="E123" i="7"/>
  <c r="G122" i="7"/>
  <c r="E122" i="7"/>
  <c r="L119" i="7"/>
  <c r="J119" i="7"/>
  <c r="G119" i="7"/>
  <c r="F119" i="7"/>
  <c r="E119" i="7"/>
  <c r="L118" i="7"/>
  <c r="I118" i="7"/>
  <c r="H118" i="7"/>
  <c r="J118" i="7" s="1"/>
  <c r="G118" i="7"/>
  <c r="F118" i="7"/>
  <c r="L117" i="7"/>
  <c r="L115" i="7" s="1"/>
  <c r="J117" i="7"/>
  <c r="G117" i="7"/>
  <c r="F117" i="7"/>
  <c r="E117" i="7"/>
  <c r="L116" i="7"/>
  <c r="I116" i="7"/>
  <c r="H116" i="7"/>
  <c r="J116" i="7" s="1"/>
  <c r="G116" i="7"/>
  <c r="F116" i="7"/>
  <c r="L113" i="7"/>
  <c r="L112" i="7" s="1"/>
  <c r="J113" i="7"/>
  <c r="G113" i="7"/>
  <c r="F113" i="7"/>
  <c r="E111" i="7"/>
  <c r="G111" i="7"/>
  <c r="D111" i="7"/>
  <c r="AW110" i="7"/>
  <c r="AE110" i="7"/>
  <c r="AD110" i="7"/>
  <c r="G109" i="7"/>
  <c r="E109" i="7"/>
  <c r="G108" i="7"/>
  <c r="E108" i="7"/>
  <c r="L105" i="7"/>
  <c r="J105" i="7"/>
  <c r="G105" i="7"/>
  <c r="E105" i="7"/>
  <c r="L104" i="7"/>
  <c r="I104" i="7"/>
  <c r="H104" i="7"/>
  <c r="J104" i="7" s="1"/>
  <c r="G104" i="7"/>
  <c r="L103" i="7"/>
  <c r="L101" i="7" s="1"/>
  <c r="J103" i="7"/>
  <c r="G103" i="7"/>
  <c r="E103" i="7"/>
  <c r="L102" i="7"/>
  <c r="I102" i="7"/>
  <c r="H102" i="7"/>
  <c r="J102" i="7" s="1"/>
  <c r="G102" i="7"/>
  <c r="L99" i="7"/>
  <c r="L98" i="7" s="1"/>
  <c r="J99" i="7"/>
  <c r="G99" i="7"/>
  <c r="E97" i="7"/>
  <c r="G97" i="7"/>
  <c r="D97" i="7"/>
  <c r="C97" i="7"/>
  <c r="AW96" i="7"/>
  <c r="AE96" i="7"/>
  <c r="AD96" i="7"/>
  <c r="G95" i="7"/>
  <c r="E95" i="7"/>
  <c r="G94" i="7"/>
  <c r="E94" i="7"/>
  <c r="L91" i="7"/>
  <c r="L88" i="7" s="1"/>
  <c r="J91" i="7"/>
  <c r="G91" i="7"/>
  <c r="E91" i="7"/>
  <c r="L90" i="7"/>
  <c r="I90" i="7"/>
  <c r="H90" i="7"/>
  <c r="J90" i="7" s="1"/>
  <c r="G90" i="7"/>
  <c r="L89" i="7"/>
  <c r="J89" i="7"/>
  <c r="G89" i="7"/>
  <c r="L86" i="7"/>
  <c r="L85" i="7" s="1"/>
  <c r="J86" i="7"/>
  <c r="G86" i="7"/>
  <c r="E84" i="7"/>
  <c r="G84" i="7"/>
  <c r="D84" i="7"/>
  <c r="C84" i="7"/>
  <c r="AW83" i="7"/>
  <c r="AE83" i="7"/>
  <c r="AD83" i="7"/>
  <c r="G82" i="7"/>
  <c r="E82" i="7"/>
  <c r="G81" i="7"/>
  <c r="E81" i="7"/>
  <c r="L78" i="7"/>
  <c r="J78" i="7"/>
  <c r="G78" i="7"/>
  <c r="E78" i="7"/>
  <c r="L77" i="7"/>
  <c r="I77" i="7"/>
  <c r="H77" i="7"/>
  <c r="J77" i="7" s="1"/>
  <c r="G77" i="7"/>
  <c r="L76" i="7"/>
  <c r="J76" i="7"/>
  <c r="G76" i="7"/>
  <c r="L75" i="7"/>
  <c r="L73" i="7" s="1"/>
  <c r="J75" i="7"/>
  <c r="G75" i="7"/>
  <c r="E75" i="7"/>
  <c r="L74" i="7"/>
  <c r="J74" i="7"/>
  <c r="G74" i="7"/>
  <c r="L71" i="7"/>
  <c r="L70" i="7" s="1"/>
  <c r="J71" i="7"/>
  <c r="G71" i="7"/>
  <c r="E69" i="7"/>
  <c r="G69" i="7"/>
  <c r="D69" i="7"/>
  <c r="C69" i="7"/>
  <c r="AW68" i="7"/>
  <c r="AE68" i="7"/>
  <c r="AD68" i="7"/>
  <c r="G67" i="7"/>
  <c r="E67" i="7"/>
  <c r="G66" i="7"/>
  <c r="E66" i="7"/>
  <c r="L63" i="7"/>
  <c r="J63" i="7"/>
  <c r="G63" i="7"/>
  <c r="E63" i="7"/>
  <c r="L62" i="7"/>
  <c r="I62" i="7"/>
  <c r="H62" i="7"/>
  <c r="J62" i="7" s="1"/>
  <c r="G62" i="7"/>
  <c r="L61" i="7"/>
  <c r="L59" i="7" s="1"/>
  <c r="J61" i="7"/>
  <c r="G61" i="7"/>
  <c r="E61" i="7"/>
  <c r="L60" i="7"/>
  <c r="I60" i="7"/>
  <c r="H60" i="7"/>
  <c r="J60" i="7" s="1"/>
  <c r="G60" i="7"/>
  <c r="L57" i="7"/>
  <c r="L56" i="7" s="1"/>
  <c r="J57" i="7"/>
  <c r="G57" i="7"/>
  <c r="E55" i="7"/>
  <c r="G55" i="7"/>
  <c r="D55" i="7"/>
  <c r="C55" i="7"/>
  <c r="CN28" i="7"/>
  <c r="F16" i="7"/>
  <c r="F14" i="7"/>
  <c r="CO6" i="7"/>
  <c r="F6" i="7"/>
  <c r="F4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" i="3"/>
  <c r="Y1" i="3"/>
  <c r="CU1" i="3"/>
  <c r="CV1" i="3"/>
  <c r="CX1" i="3"/>
  <c r="CY1" i="3"/>
  <c r="CZ1" i="3"/>
  <c r="DA1" i="3"/>
  <c r="DB1" i="3"/>
  <c r="DC1" i="3"/>
  <c r="DF1" i="3"/>
  <c r="DG1" i="3"/>
  <c r="DH1" i="3"/>
  <c r="DI1" i="3"/>
  <c r="DJ1" i="3"/>
  <c r="A2" i="3"/>
  <c r="Y2" i="3"/>
  <c r="CX2" i="3"/>
  <c r="CY2" i="3"/>
  <c r="CZ2" i="3"/>
  <c r="DA2" i="3"/>
  <c r="DB2" i="3"/>
  <c r="DC2" i="3"/>
  <c r="DF2" i="3"/>
  <c r="DG2" i="3"/>
  <c r="DH2" i="3"/>
  <c r="DI2" i="3"/>
  <c r="DJ2" i="3"/>
  <c r="A3" i="3"/>
  <c r="Y3" i="3"/>
  <c r="CW3" i="3"/>
  <c r="CX3" i="3"/>
  <c r="CY3" i="3"/>
  <c r="CZ3" i="3"/>
  <c r="DA3" i="3"/>
  <c r="DB3" i="3"/>
  <c r="DC3" i="3"/>
  <c r="DF3" i="3"/>
  <c r="DG3" i="3"/>
  <c r="DH3" i="3"/>
  <c r="DI3" i="3"/>
  <c r="DJ3" i="3"/>
  <c r="A4" i="3"/>
  <c r="Y4" i="3"/>
  <c r="CW4" i="3"/>
  <c r="CX4" i="3"/>
  <c r="CY4" i="3"/>
  <c r="CZ4" i="3"/>
  <c r="DA4" i="3"/>
  <c r="DB4" i="3"/>
  <c r="DC4" i="3"/>
  <c r="DF4" i="3"/>
  <c r="DG4" i="3"/>
  <c r="DH4" i="3"/>
  <c r="DI4" i="3"/>
  <c r="DJ4" i="3"/>
  <c r="A5" i="3"/>
  <c r="Y5" i="3"/>
  <c r="CU5" i="3"/>
  <c r="CV5" i="3"/>
  <c r="CX5" i="3"/>
  <c r="CY5" i="3"/>
  <c r="CZ5" i="3"/>
  <c r="DA5" i="3"/>
  <c r="DB5" i="3"/>
  <c r="DC5" i="3"/>
  <c r="DF5" i="3"/>
  <c r="DG5" i="3"/>
  <c r="DH5" i="3"/>
  <c r="DI5" i="3"/>
  <c r="DJ5" i="3"/>
  <c r="A6" i="3"/>
  <c r="Y6" i="3"/>
  <c r="CX6" i="3"/>
  <c r="CY6" i="3"/>
  <c r="CZ6" i="3"/>
  <c r="DA6" i="3"/>
  <c r="DB6" i="3"/>
  <c r="DC6" i="3"/>
  <c r="DF6" i="3"/>
  <c r="DG6" i="3"/>
  <c r="DH6" i="3"/>
  <c r="DI6" i="3"/>
  <c r="DJ6" i="3"/>
  <c r="A7" i="3"/>
  <c r="Y7" i="3"/>
  <c r="CW7" i="3"/>
  <c r="CX7" i="3"/>
  <c r="CY7" i="3"/>
  <c r="CZ7" i="3"/>
  <c r="DA7" i="3"/>
  <c r="DB7" i="3"/>
  <c r="DC7" i="3"/>
  <c r="DF7" i="3"/>
  <c r="DG7" i="3"/>
  <c r="DH7" i="3"/>
  <c r="DI7" i="3"/>
  <c r="DJ7" i="3"/>
  <c r="A8" i="3"/>
  <c r="Y8" i="3"/>
  <c r="CW8" i="3"/>
  <c r="CX8" i="3"/>
  <c r="CY8" i="3"/>
  <c r="CZ8" i="3"/>
  <c r="DA8" i="3"/>
  <c r="DB8" i="3"/>
  <c r="DC8" i="3"/>
  <c r="DF8" i="3"/>
  <c r="DG8" i="3"/>
  <c r="DH8" i="3"/>
  <c r="DI8" i="3"/>
  <c r="DJ8" i="3"/>
  <c r="A9" i="3"/>
  <c r="Y9" i="3"/>
  <c r="CW9" i="3"/>
  <c r="CX9" i="3"/>
  <c r="CY9" i="3"/>
  <c r="CZ9" i="3"/>
  <c r="DA9" i="3"/>
  <c r="DB9" i="3"/>
  <c r="DC9" i="3"/>
  <c r="DF9" i="3"/>
  <c r="DG9" i="3"/>
  <c r="DH9" i="3"/>
  <c r="DI9" i="3"/>
  <c r="DJ9" i="3"/>
  <c r="A10" i="3"/>
  <c r="Y10" i="3"/>
  <c r="CU10" i="3"/>
  <c r="CV10" i="3"/>
  <c r="CX10" i="3"/>
  <c r="CY10" i="3"/>
  <c r="CZ10" i="3"/>
  <c r="DA10" i="3"/>
  <c r="DB10" i="3"/>
  <c r="DC10" i="3"/>
  <c r="DF10" i="3"/>
  <c r="DG10" i="3"/>
  <c r="DH10" i="3"/>
  <c r="DI10" i="3"/>
  <c r="DJ10" i="3"/>
  <c r="A11" i="3"/>
  <c r="Y11" i="3"/>
  <c r="CX11" i="3"/>
  <c r="CY11" i="3"/>
  <c r="CZ11" i="3"/>
  <c r="DA11" i="3"/>
  <c r="DB11" i="3"/>
  <c r="DC11" i="3"/>
  <c r="DF11" i="3"/>
  <c r="DG11" i="3"/>
  <c r="DH11" i="3"/>
  <c r="DI11" i="3"/>
  <c r="DJ11" i="3"/>
  <c r="A12" i="3"/>
  <c r="Y12" i="3"/>
  <c r="CW12" i="3"/>
  <c r="CX12" i="3"/>
  <c r="CY12" i="3"/>
  <c r="CZ12" i="3"/>
  <c r="DA12" i="3"/>
  <c r="DB12" i="3"/>
  <c r="DC12" i="3"/>
  <c r="DF12" i="3"/>
  <c r="DG12" i="3"/>
  <c r="DH12" i="3"/>
  <c r="DI12" i="3"/>
  <c r="DJ12" i="3"/>
  <c r="A13" i="3"/>
  <c r="Y13" i="3"/>
  <c r="CW13" i="3"/>
  <c r="CX13" i="3"/>
  <c r="CY13" i="3"/>
  <c r="CZ13" i="3"/>
  <c r="DA13" i="3"/>
  <c r="DB13" i="3"/>
  <c r="DC13" i="3"/>
  <c r="DF13" i="3"/>
  <c r="DG13" i="3"/>
  <c r="DH13" i="3"/>
  <c r="DI13" i="3"/>
  <c r="DJ13" i="3"/>
  <c r="A14" i="3"/>
  <c r="Y14" i="3"/>
  <c r="CU14" i="3"/>
  <c r="CV14" i="3"/>
  <c r="CX14" i="3"/>
  <c r="CY14" i="3"/>
  <c r="CZ14" i="3"/>
  <c r="DA14" i="3"/>
  <c r="DB14" i="3"/>
  <c r="DC14" i="3"/>
  <c r="DF14" i="3"/>
  <c r="DG14" i="3"/>
  <c r="DH14" i="3"/>
  <c r="DI14" i="3"/>
  <c r="DJ14" i="3"/>
  <c r="A15" i="3"/>
  <c r="Y15" i="3"/>
  <c r="CX15" i="3"/>
  <c r="CY15" i="3"/>
  <c r="CZ15" i="3"/>
  <c r="DA15" i="3"/>
  <c r="DB15" i="3"/>
  <c r="DC15" i="3"/>
  <c r="DF15" i="3"/>
  <c r="DG15" i="3"/>
  <c r="DH15" i="3"/>
  <c r="DI15" i="3"/>
  <c r="DJ15" i="3"/>
  <c r="A16" i="3"/>
  <c r="Y16" i="3"/>
  <c r="CW16" i="3"/>
  <c r="CX16" i="3"/>
  <c r="CY16" i="3"/>
  <c r="CZ16" i="3"/>
  <c r="DA16" i="3"/>
  <c r="DB16" i="3"/>
  <c r="DC16" i="3"/>
  <c r="DF16" i="3"/>
  <c r="DG16" i="3"/>
  <c r="DH16" i="3"/>
  <c r="DI16" i="3"/>
  <c r="DJ16" i="3"/>
  <c r="A17" i="3"/>
  <c r="Y17" i="3"/>
  <c r="CW17" i="3"/>
  <c r="CX17" i="3"/>
  <c r="CY17" i="3"/>
  <c r="CZ17" i="3"/>
  <c r="DA17" i="3"/>
  <c r="DB17" i="3"/>
  <c r="DC17" i="3"/>
  <c r="DF17" i="3"/>
  <c r="DG17" i="3"/>
  <c r="DH17" i="3"/>
  <c r="DI17" i="3"/>
  <c r="DJ17" i="3"/>
  <c r="A18" i="3"/>
  <c r="Y18" i="3"/>
  <c r="CU18" i="3"/>
  <c r="CV18" i="3"/>
  <c r="CX18" i="3"/>
  <c r="CY18" i="3"/>
  <c r="CZ18" i="3"/>
  <c r="DA18" i="3"/>
  <c r="DB18" i="3"/>
  <c r="DC18" i="3"/>
  <c r="DF18" i="3"/>
  <c r="DG18" i="3"/>
  <c r="DH18" i="3"/>
  <c r="DI18" i="3"/>
  <c r="DJ18" i="3"/>
  <c r="A19" i="3"/>
  <c r="Y19" i="3"/>
  <c r="CX19" i="3"/>
  <c r="CY19" i="3"/>
  <c r="CZ19" i="3"/>
  <c r="DA19" i="3"/>
  <c r="DB19" i="3"/>
  <c r="DC19" i="3"/>
  <c r="DF19" i="3"/>
  <c r="DG19" i="3"/>
  <c r="DH19" i="3"/>
  <c r="DI19" i="3"/>
  <c r="DJ19" i="3"/>
  <c r="A20" i="3"/>
  <c r="Y20" i="3"/>
  <c r="CW20" i="3"/>
  <c r="CX20" i="3"/>
  <c r="CY20" i="3"/>
  <c r="CZ20" i="3"/>
  <c r="DA20" i="3"/>
  <c r="DB20" i="3"/>
  <c r="DC20" i="3"/>
  <c r="DF20" i="3"/>
  <c r="DG20" i="3"/>
  <c r="DH20" i="3"/>
  <c r="DI20" i="3"/>
  <c r="DJ20" i="3"/>
  <c r="A21" i="3"/>
  <c r="Y21" i="3"/>
  <c r="CW21" i="3"/>
  <c r="CX21" i="3"/>
  <c r="CY21" i="3"/>
  <c r="CZ21" i="3"/>
  <c r="DA21" i="3"/>
  <c r="DB21" i="3"/>
  <c r="DC21" i="3"/>
  <c r="DF21" i="3"/>
  <c r="DG21" i="3"/>
  <c r="DH21" i="3"/>
  <c r="DI21" i="3"/>
  <c r="DJ21" i="3"/>
  <c r="A22" i="3"/>
  <c r="Y22" i="3"/>
  <c r="CU22" i="3"/>
  <c r="CV22" i="3"/>
  <c r="CX22" i="3"/>
  <c r="CY22" i="3"/>
  <c r="CZ22" i="3"/>
  <c r="DA22" i="3"/>
  <c r="DB22" i="3"/>
  <c r="DC22" i="3"/>
  <c r="DF22" i="3"/>
  <c r="DG22" i="3"/>
  <c r="DH22" i="3"/>
  <c r="DI22" i="3"/>
  <c r="DJ22" i="3"/>
  <c r="A23" i="3"/>
  <c r="Y23" i="3"/>
  <c r="CX23" i="3"/>
  <c r="CY23" i="3"/>
  <c r="CZ23" i="3"/>
  <c r="DA23" i="3"/>
  <c r="DB23" i="3"/>
  <c r="DC23" i="3"/>
  <c r="DF23" i="3"/>
  <c r="DG23" i="3"/>
  <c r="DH23" i="3"/>
  <c r="DI23" i="3"/>
  <c r="DJ23" i="3"/>
  <c r="A24" i="3"/>
  <c r="Y24" i="3"/>
  <c r="CW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U25" i="3"/>
  <c r="CV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X26" i="3"/>
  <c r="CY26" i="3"/>
  <c r="CZ26" i="3"/>
  <c r="DA26" i="3"/>
  <c r="DB26" i="3"/>
  <c r="DC26" i="3"/>
  <c r="DF26" i="3"/>
  <c r="DG26" i="3"/>
  <c r="DH26" i="3"/>
  <c r="DI26" i="3"/>
  <c r="DJ26" i="3"/>
  <c r="A27" i="3"/>
  <c r="Y27" i="3"/>
  <c r="CW27" i="3"/>
  <c r="CX27" i="3"/>
  <c r="CY27" i="3"/>
  <c r="CZ27" i="3"/>
  <c r="DA27" i="3"/>
  <c r="DB27" i="3"/>
  <c r="DC27" i="3"/>
  <c r="DF27" i="3"/>
  <c r="DG27" i="3"/>
  <c r="DH27" i="3"/>
  <c r="DI27" i="3"/>
  <c r="DJ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U29" i="3"/>
  <c r="CV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W31" i="3"/>
  <c r="CX31" i="3"/>
  <c r="CY31" i="3"/>
  <c r="CZ31" i="3"/>
  <c r="DA31" i="3"/>
  <c r="DB31" i="3"/>
  <c r="DC31" i="3"/>
  <c r="DF31" i="3"/>
  <c r="DG31" i="3"/>
  <c r="DH31" i="3"/>
  <c r="DI31" i="3"/>
  <c r="DJ31" i="3"/>
  <c r="A32" i="3"/>
  <c r="Y32" i="3"/>
  <c r="CW32" i="3"/>
  <c r="CX32" i="3"/>
  <c r="CY32" i="3"/>
  <c r="CZ32" i="3"/>
  <c r="DA32" i="3"/>
  <c r="DB32" i="3"/>
  <c r="DC32" i="3"/>
  <c r="DF32" i="3"/>
  <c r="DG32" i="3"/>
  <c r="DH32" i="3"/>
  <c r="DI32" i="3"/>
  <c r="DJ32" i="3"/>
  <c r="A33" i="3"/>
  <c r="Y33" i="3"/>
  <c r="CX33" i="3"/>
  <c r="CY33" i="3"/>
  <c r="CZ33" i="3"/>
  <c r="DA33" i="3"/>
  <c r="DB33" i="3"/>
  <c r="DC33" i="3"/>
  <c r="DF33" i="3"/>
  <c r="DG33" i="3"/>
  <c r="DH33" i="3"/>
  <c r="DI33" i="3"/>
  <c r="DJ33" i="3"/>
  <c r="A34" i="3"/>
  <c r="Y34" i="3"/>
  <c r="CX34" i="3"/>
  <c r="CY34" i="3"/>
  <c r="CZ34" i="3"/>
  <c r="DA34" i="3"/>
  <c r="DB34" i="3"/>
  <c r="DC34" i="3"/>
  <c r="DF34" i="3"/>
  <c r="DG34" i="3"/>
  <c r="DH34" i="3"/>
  <c r="DI34" i="3"/>
  <c r="DJ34" i="3"/>
  <c r="A35" i="3"/>
  <c r="Y35" i="3"/>
  <c r="CU35" i="3"/>
  <c r="CV35" i="3"/>
  <c r="CX35" i="3"/>
  <c r="CY35" i="3"/>
  <c r="CZ35" i="3"/>
  <c r="DA35" i="3"/>
  <c r="DB35" i="3"/>
  <c r="DC35" i="3"/>
  <c r="DF35" i="3"/>
  <c r="DG35" i="3"/>
  <c r="DH35" i="3"/>
  <c r="DI35" i="3"/>
  <c r="DJ35" i="3"/>
  <c r="A36" i="3"/>
  <c r="Y36" i="3"/>
  <c r="CX36" i="3"/>
  <c r="CY36" i="3"/>
  <c r="CZ36" i="3"/>
  <c r="DA36" i="3"/>
  <c r="DB36" i="3"/>
  <c r="DC36" i="3"/>
  <c r="DF36" i="3"/>
  <c r="DG36" i="3"/>
  <c r="DH36" i="3"/>
  <c r="DI36" i="3"/>
  <c r="DJ36" i="3"/>
  <c r="A37" i="3"/>
  <c r="Y37" i="3"/>
  <c r="CW37" i="3"/>
  <c r="CX37" i="3"/>
  <c r="CY37" i="3"/>
  <c r="CZ37" i="3"/>
  <c r="DA37" i="3"/>
  <c r="DB37" i="3"/>
  <c r="DC37" i="3"/>
  <c r="DF37" i="3"/>
  <c r="DG37" i="3"/>
  <c r="DH37" i="3"/>
  <c r="DI37" i="3"/>
  <c r="DJ37" i="3"/>
  <c r="A38" i="3"/>
  <c r="Y38" i="3"/>
  <c r="CW38" i="3"/>
  <c r="CX38" i="3"/>
  <c r="CY38" i="3"/>
  <c r="CZ38" i="3"/>
  <c r="DA38" i="3"/>
  <c r="DB38" i="3"/>
  <c r="DC38" i="3"/>
  <c r="DF38" i="3"/>
  <c r="DG38" i="3"/>
  <c r="DH38" i="3"/>
  <c r="DI38" i="3"/>
  <c r="DJ38" i="3"/>
  <c r="A39" i="3"/>
  <c r="Y39" i="3"/>
  <c r="CW39" i="3"/>
  <c r="CX39" i="3"/>
  <c r="CY39" i="3"/>
  <c r="CZ39" i="3"/>
  <c r="DA39" i="3"/>
  <c r="DB39" i="3"/>
  <c r="DC39" i="3"/>
  <c r="DF39" i="3"/>
  <c r="DG39" i="3"/>
  <c r="DH39" i="3"/>
  <c r="DI39" i="3"/>
  <c r="DJ39" i="3"/>
  <c r="A40" i="3"/>
  <c r="Y40" i="3"/>
  <c r="CX40" i="3"/>
  <c r="CY40" i="3"/>
  <c r="CZ40" i="3"/>
  <c r="DA40" i="3"/>
  <c r="DB40" i="3"/>
  <c r="DC40" i="3"/>
  <c r="DF40" i="3"/>
  <c r="DG40" i="3"/>
  <c r="DH40" i="3"/>
  <c r="DI40" i="3"/>
  <c r="DJ40" i="3"/>
  <c r="A41" i="3"/>
  <c r="Y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A48" i="3"/>
  <c r="DB48" i="3"/>
  <c r="DC48" i="3"/>
  <c r="A49" i="3"/>
  <c r="Y49" i="3"/>
  <c r="CY49" i="3"/>
  <c r="CZ49" i="3"/>
  <c r="DA49" i="3"/>
  <c r="DB49" i="3"/>
  <c r="DC49" i="3"/>
  <c r="A50" i="3"/>
  <c r="Y50" i="3"/>
  <c r="CY50" i="3"/>
  <c r="CZ50" i="3"/>
  <c r="DA50" i="3"/>
  <c r="DB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A53" i="3"/>
  <c r="DB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Y57" i="3"/>
  <c r="CZ57" i="3"/>
  <c r="DA57" i="3"/>
  <c r="DB57" i="3"/>
  <c r="DC57" i="3"/>
  <c r="A58" i="3"/>
  <c r="Y58" i="3"/>
  <c r="CY58" i="3"/>
  <c r="CZ58" i="3"/>
  <c r="DA58" i="3"/>
  <c r="DB58" i="3"/>
  <c r="DC58" i="3"/>
  <c r="A59" i="3"/>
  <c r="Y59" i="3"/>
  <c r="CY59" i="3"/>
  <c r="CZ59" i="3"/>
  <c r="DA59" i="3"/>
  <c r="DB59" i="3"/>
  <c r="DC59" i="3"/>
  <c r="A60" i="3"/>
  <c r="Y60" i="3"/>
  <c r="CY60" i="3"/>
  <c r="CZ60" i="3"/>
  <c r="DA60" i="3"/>
  <c r="DB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A62" i="3"/>
  <c r="DB62" i="3"/>
  <c r="DC62" i="3"/>
  <c r="A63" i="3"/>
  <c r="Y63" i="3"/>
  <c r="CU63" i="3"/>
  <c r="CV63" i="3"/>
  <c r="CX63" i="3"/>
  <c r="CY63" i="3"/>
  <c r="CZ63" i="3"/>
  <c r="DA63" i="3"/>
  <c r="DB63" i="3"/>
  <c r="DC63" i="3"/>
  <c r="DF63" i="3"/>
  <c r="DG63" i="3"/>
  <c r="DH63" i="3"/>
  <c r="DI63" i="3"/>
  <c r="DJ63" i="3"/>
  <c r="A64" i="3"/>
  <c r="Y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W65" i="3"/>
  <c r="CX65" i="3"/>
  <c r="CY65" i="3"/>
  <c r="CZ65" i="3"/>
  <c r="DA65" i="3"/>
  <c r="DB65" i="3"/>
  <c r="DC65" i="3"/>
  <c r="DF65" i="3"/>
  <c r="DG65" i="3"/>
  <c r="DH65" i="3"/>
  <c r="DI65" i="3"/>
  <c r="DJ65" i="3"/>
  <c r="A66" i="3"/>
  <c r="Y66" i="3"/>
  <c r="CW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W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U68" i="3"/>
  <c r="CV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W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W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U72" i="3"/>
  <c r="CV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W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W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X82" i="3"/>
  <c r="CY82" i="3"/>
  <c r="CZ82" i="3"/>
  <c r="DA82" i="3"/>
  <c r="DB82" i="3"/>
  <c r="DC82" i="3"/>
  <c r="DF82" i="3"/>
  <c r="DG82" i="3"/>
  <c r="DH82" i="3"/>
  <c r="DI82" i="3"/>
  <c r="DJ82" i="3"/>
  <c r="A83" i="3"/>
  <c r="Y83" i="3"/>
  <c r="CX83" i="3"/>
  <c r="CY83" i="3"/>
  <c r="CZ83" i="3"/>
  <c r="DA83" i="3"/>
  <c r="DB83" i="3"/>
  <c r="DC83" i="3"/>
  <c r="DF83" i="3"/>
  <c r="DG83" i="3"/>
  <c r="DH83" i="3"/>
  <c r="DI83" i="3"/>
  <c r="DJ83" i="3"/>
  <c r="A84" i="3"/>
  <c r="Y84" i="3"/>
  <c r="CX84" i="3"/>
  <c r="CY84" i="3"/>
  <c r="CZ84" i="3"/>
  <c r="DA84" i="3"/>
  <c r="DB84" i="3"/>
  <c r="DC84" i="3"/>
  <c r="DF84" i="3"/>
  <c r="DG84" i="3"/>
  <c r="DH84" i="3"/>
  <c r="DI84" i="3"/>
  <c r="DJ84" i="3"/>
  <c r="A85" i="3"/>
  <c r="Y85" i="3"/>
  <c r="CX85" i="3"/>
  <c r="CY85" i="3"/>
  <c r="CZ85" i="3"/>
  <c r="DA85" i="3"/>
  <c r="DB85" i="3"/>
  <c r="DC85" i="3"/>
  <c r="DF85" i="3"/>
  <c r="DG85" i="3"/>
  <c r="DH85" i="3"/>
  <c r="DI85" i="3"/>
  <c r="DJ85" i="3"/>
  <c r="A86" i="3"/>
  <c r="Y86" i="3"/>
  <c r="CX86" i="3"/>
  <c r="CY86" i="3"/>
  <c r="CZ86" i="3"/>
  <c r="DA86" i="3"/>
  <c r="DB86" i="3"/>
  <c r="DC86" i="3"/>
  <c r="DF86" i="3"/>
  <c r="DG86" i="3"/>
  <c r="DH86" i="3"/>
  <c r="DI86" i="3"/>
  <c r="DJ86" i="3"/>
  <c r="A87" i="3"/>
  <c r="Y87" i="3"/>
  <c r="CX87" i="3"/>
  <c r="CY87" i="3"/>
  <c r="CZ87" i="3"/>
  <c r="DA87" i="3"/>
  <c r="DB87" i="3"/>
  <c r="DC87" i="3"/>
  <c r="DF87" i="3"/>
  <c r="DG87" i="3"/>
  <c r="DH87" i="3"/>
  <c r="DI87" i="3"/>
  <c r="DJ87" i="3"/>
  <c r="A88" i="3"/>
  <c r="Y88" i="3"/>
  <c r="CX88" i="3"/>
  <c r="CY88" i="3"/>
  <c r="CZ88" i="3"/>
  <c r="DA88" i="3"/>
  <c r="DB88" i="3"/>
  <c r="DC88" i="3"/>
  <c r="DF88" i="3"/>
  <c r="DG88" i="3"/>
  <c r="DH88" i="3"/>
  <c r="DI88" i="3"/>
  <c r="DJ88" i="3"/>
  <c r="A89" i="3"/>
  <c r="Y89" i="3"/>
  <c r="CX89" i="3"/>
  <c r="CY89" i="3"/>
  <c r="CZ89" i="3"/>
  <c r="DA89" i="3"/>
  <c r="DB89" i="3"/>
  <c r="DC89" i="3"/>
  <c r="DF89" i="3"/>
  <c r="DG89" i="3"/>
  <c r="DH89" i="3"/>
  <c r="DI89" i="3"/>
  <c r="DJ89" i="3"/>
  <c r="A90" i="3"/>
  <c r="Y90" i="3"/>
  <c r="CU90" i="3"/>
  <c r="CV90" i="3"/>
  <c r="CX90" i="3"/>
  <c r="CY90" i="3"/>
  <c r="CZ90" i="3"/>
  <c r="DA90" i="3"/>
  <c r="DB90" i="3"/>
  <c r="DC90" i="3"/>
  <c r="DF90" i="3"/>
  <c r="DG90" i="3"/>
  <c r="DH90" i="3"/>
  <c r="DI90" i="3"/>
  <c r="DJ90" i="3"/>
  <c r="A91" i="3"/>
  <c r="Y91" i="3"/>
  <c r="CX91" i="3"/>
  <c r="CY91" i="3"/>
  <c r="CZ91" i="3"/>
  <c r="DA91" i="3"/>
  <c r="DB91" i="3"/>
  <c r="DC91" i="3"/>
  <c r="DF91" i="3"/>
  <c r="DG91" i="3"/>
  <c r="DH91" i="3"/>
  <c r="DI91" i="3"/>
  <c r="DJ91" i="3"/>
  <c r="A92" i="3"/>
  <c r="Y92" i="3"/>
  <c r="CW92" i="3"/>
  <c r="CX92" i="3"/>
  <c r="CY92" i="3"/>
  <c r="CZ92" i="3"/>
  <c r="DA92" i="3"/>
  <c r="DB92" i="3"/>
  <c r="DC92" i="3"/>
  <c r="DF92" i="3"/>
  <c r="DG92" i="3"/>
  <c r="DH92" i="3"/>
  <c r="DI92" i="3"/>
  <c r="DJ92" i="3"/>
  <c r="A93" i="3"/>
  <c r="Y93" i="3"/>
  <c r="CW93" i="3"/>
  <c r="CX93" i="3"/>
  <c r="CY93" i="3"/>
  <c r="CZ93" i="3"/>
  <c r="DA93" i="3"/>
  <c r="DB93" i="3"/>
  <c r="DC93" i="3"/>
  <c r="DF93" i="3"/>
  <c r="DG93" i="3"/>
  <c r="DH93" i="3"/>
  <c r="DI93" i="3"/>
  <c r="DJ93" i="3"/>
  <c r="A94" i="3"/>
  <c r="Y94" i="3"/>
  <c r="CX94" i="3"/>
  <c r="CY94" i="3"/>
  <c r="CZ94" i="3"/>
  <c r="DA94" i="3"/>
  <c r="DB94" i="3"/>
  <c r="DC94" i="3"/>
  <c r="DF94" i="3"/>
  <c r="DG94" i="3"/>
  <c r="DH94" i="3"/>
  <c r="DI94" i="3"/>
  <c r="DJ94" i="3"/>
  <c r="A95" i="3"/>
  <c r="Y95" i="3"/>
  <c r="CX95" i="3"/>
  <c r="CY95" i="3"/>
  <c r="CZ95" i="3"/>
  <c r="DA95" i="3"/>
  <c r="DB95" i="3"/>
  <c r="DC95" i="3"/>
  <c r="DF95" i="3"/>
  <c r="DG95" i="3"/>
  <c r="DH95" i="3"/>
  <c r="DI95" i="3"/>
  <c r="DJ95" i="3"/>
  <c r="A96" i="3"/>
  <c r="Y96" i="3"/>
  <c r="CX96" i="3"/>
  <c r="CY96" i="3"/>
  <c r="CZ96" i="3"/>
  <c r="DA96" i="3"/>
  <c r="DB96" i="3"/>
  <c r="DC96" i="3"/>
  <c r="DF96" i="3"/>
  <c r="DG96" i="3"/>
  <c r="DH96" i="3"/>
  <c r="DI96" i="3"/>
  <c r="DJ96" i="3"/>
  <c r="A97" i="3"/>
  <c r="Y97" i="3"/>
  <c r="CX97" i="3"/>
  <c r="CY97" i="3"/>
  <c r="CZ97" i="3"/>
  <c r="DA97" i="3"/>
  <c r="DB97" i="3"/>
  <c r="DC97" i="3"/>
  <c r="DF97" i="3"/>
  <c r="DG97" i="3"/>
  <c r="DH97" i="3"/>
  <c r="DI97" i="3"/>
  <c r="DJ97" i="3"/>
  <c r="A98" i="3"/>
  <c r="Y98" i="3"/>
  <c r="CX98" i="3"/>
  <c r="CY98" i="3"/>
  <c r="CZ98" i="3"/>
  <c r="DA98" i="3"/>
  <c r="DB98" i="3"/>
  <c r="DC98" i="3"/>
  <c r="DF98" i="3"/>
  <c r="DG98" i="3"/>
  <c r="DH98" i="3"/>
  <c r="DI98" i="3"/>
  <c r="DJ98" i="3"/>
  <c r="A99" i="3"/>
  <c r="Y99" i="3"/>
  <c r="CX99" i="3"/>
  <c r="CY99" i="3"/>
  <c r="CZ99" i="3"/>
  <c r="DA99" i="3"/>
  <c r="DB99" i="3"/>
  <c r="DC99" i="3"/>
  <c r="DF99" i="3"/>
  <c r="DG99" i="3"/>
  <c r="DH99" i="3"/>
  <c r="DI99" i="3"/>
  <c r="DJ99" i="3"/>
  <c r="A100" i="3"/>
  <c r="Y100" i="3"/>
  <c r="CX100" i="3"/>
  <c r="CY100" i="3"/>
  <c r="CZ100" i="3"/>
  <c r="DA100" i="3"/>
  <c r="DB100" i="3"/>
  <c r="DC100" i="3"/>
  <c r="DF100" i="3"/>
  <c r="DG100" i="3"/>
  <c r="DH100" i="3"/>
  <c r="DI100" i="3"/>
  <c r="DJ100" i="3"/>
  <c r="A101" i="3"/>
  <c r="Y101" i="3"/>
  <c r="CX101" i="3"/>
  <c r="CY101" i="3"/>
  <c r="CZ101" i="3"/>
  <c r="DA101" i="3"/>
  <c r="DB101" i="3"/>
  <c r="DC101" i="3"/>
  <c r="DF101" i="3"/>
  <c r="DG101" i="3"/>
  <c r="DH101" i="3"/>
  <c r="DI101" i="3"/>
  <c r="DJ101" i="3"/>
  <c r="A102" i="3"/>
  <c r="Y102" i="3"/>
  <c r="CX102" i="3"/>
  <c r="CY102" i="3"/>
  <c r="CZ102" i="3"/>
  <c r="DA102" i="3"/>
  <c r="DB102" i="3"/>
  <c r="DC102" i="3"/>
  <c r="DF102" i="3"/>
  <c r="DG102" i="3"/>
  <c r="DH102" i="3"/>
  <c r="DI102" i="3"/>
  <c r="DJ102" i="3"/>
  <c r="A103" i="3"/>
  <c r="Y103" i="3"/>
  <c r="CX103" i="3"/>
  <c r="CY103" i="3"/>
  <c r="CZ103" i="3"/>
  <c r="DA103" i="3"/>
  <c r="DB103" i="3"/>
  <c r="DC103" i="3"/>
  <c r="DF103" i="3"/>
  <c r="DG103" i="3"/>
  <c r="DH103" i="3"/>
  <c r="DI103" i="3"/>
  <c r="DJ103" i="3"/>
  <c r="A104" i="3"/>
  <c r="Y104" i="3"/>
  <c r="CX104" i="3"/>
  <c r="CY104" i="3"/>
  <c r="CZ104" i="3"/>
  <c r="DA104" i="3"/>
  <c r="DB104" i="3"/>
  <c r="DC104" i="3"/>
  <c r="DF104" i="3"/>
  <c r="DG104" i="3"/>
  <c r="DH104" i="3"/>
  <c r="DI104" i="3"/>
  <c r="DJ104" i="3"/>
  <c r="A105" i="3"/>
  <c r="Y105" i="3"/>
  <c r="CX105" i="3"/>
  <c r="CY105" i="3"/>
  <c r="CZ105" i="3"/>
  <c r="DA105" i="3"/>
  <c r="DB105" i="3"/>
  <c r="DC105" i="3"/>
  <c r="DF105" i="3"/>
  <c r="DG105" i="3"/>
  <c r="DH105" i="3"/>
  <c r="DI105" i="3"/>
  <c r="DJ105" i="3"/>
  <c r="A106" i="3"/>
  <c r="Y106" i="3"/>
  <c r="CX106" i="3"/>
  <c r="CY106" i="3"/>
  <c r="CZ106" i="3"/>
  <c r="DA106" i="3"/>
  <c r="DB106" i="3"/>
  <c r="DC106" i="3"/>
  <c r="DF106" i="3"/>
  <c r="DG106" i="3"/>
  <c r="DH106" i="3"/>
  <c r="DI106" i="3"/>
  <c r="DJ106" i="3"/>
  <c r="A107" i="3"/>
  <c r="Y107" i="3"/>
  <c r="CX107" i="3"/>
  <c r="CY107" i="3"/>
  <c r="CZ107" i="3"/>
  <c r="DA107" i="3"/>
  <c r="DB107" i="3"/>
  <c r="DC107" i="3"/>
  <c r="DF107" i="3"/>
  <c r="DG107" i="3"/>
  <c r="DH107" i="3"/>
  <c r="DI107" i="3"/>
  <c r="DJ107" i="3"/>
  <c r="A108" i="3"/>
  <c r="Y108" i="3"/>
  <c r="CX108" i="3"/>
  <c r="CY108" i="3"/>
  <c r="CZ108" i="3"/>
  <c r="DA108" i="3"/>
  <c r="DB108" i="3"/>
  <c r="DC108" i="3"/>
  <c r="DF108" i="3"/>
  <c r="DG108" i="3"/>
  <c r="DH108" i="3"/>
  <c r="DI108" i="3"/>
  <c r="DJ108" i="3"/>
  <c r="A109" i="3"/>
  <c r="Y109" i="3"/>
  <c r="CX109" i="3"/>
  <c r="CY109" i="3"/>
  <c r="CZ109" i="3"/>
  <c r="DA109" i="3"/>
  <c r="DB109" i="3"/>
  <c r="DC109" i="3"/>
  <c r="DF109" i="3"/>
  <c r="DG109" i="3"/>
  <c r="DH109" i="3"/>
  <c r="DI109" i="3"/>
  <c r="DJ109" i="3"/>
  <c r="A110" i="3"/>
  <c r="Y110" i="3"/>
  <c r="CU110" i="3"/>
  <c r="CV110" i="3"/>
  <c r="CX110" i="3"/>
  <c r="CY110" i="3"/>
  <c r="CZ110" i="3"/>
  <c r="DA110" i="3"/>
  <c r="DB110" i="3"/>
  <c r="DC110" i="3"/>
  <c r="DF110" i="3"/>
  <c r="DG110" i="3"/>
  <c r="DH110" i="3"/>
  <c r="DI110" i="3"/>
  <c r="DJ110" i="3"/>
  <c r="A111" i="3"/>
  <c r="Y111" i="3"/>
  <c r="CX111" i="3"/>
  <c r="CY111" i="3"/>
  <c r="CZ111" i="3"/>
  <c r="DA111" i="3"/>
  <c r="DB111" i="3"/>
  <c r="DC111" i="3"/>
  <c r="DF111" i="3"/>
  <c r="DG111" i="3"/>
  <c r="DH111" i="3"/>
  <c r="DI111" i="3"/>
  <c r="DJ111" i="3"/>
  <c r="A112" i="3"/>
  <c r="Y112" i="3"/>
  <c r="CW112" i="3"/>
  <c r="CX112" i="3"/>
  <c r="CY112" i="3"/>
  <c r="CZ112" i="3"/>
  <c r="DA112" i="3"/>
  <c r="DB112" i="3"/>
  <c r="DC112" i="3"/>
  <c r="DF112" i="3"/>
  <c r="DG112" i="3"/>
  <c r="DH112" i="3"/>
  <c r="DI112" i="3"/>
  <c r="DJ112" i="3"/>
  <c r="A113" i="3"/>
  <c r="Y113" i="3"/>
  <c r="CX113" i="3"/>
  <c r="CY113" i="3"/>
  <c r="CZ113" i="3"/>
  <c r="DA113" i="3"/>
  <c r="DB113" i="3"/>
  <c r="DC113" i="3"/>
  <c r="DF113" i="3"/>
  <c r="DG113" i="3"/>
  <c r="DH113" i="3"/>
  <c r="DI113" i="3"/>
  <c r="DJ113" i="3"/>
  <c r="A114" i="3"/>
  <c r="Y114" i="3"/>
  <c r="CY114" i="3"/>
  <c r="CZ114" i="3"/>
  <c r="DA114" i="3"/>
  <c r="DB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A118" i="3"/>
  <c r="DB118" i="3"/>
  <c r="DC118" i="3"/>
  <c r="A119" i="3"/>
  <c r="Y119" i="3"/>
  <c r="CY119" i="3"/>
  <c r="CZ119" i="3"/>
  <c r="DA119" i="3"/>
  <c r="DB119" i="3"/>
  <c r="DC119" i="3"/>
  <c r="A120" i="3"/>
  <c r="Y120" i="3"/>
  <c r="CY120" i="3"/>
  <c r="CZ120" i="3"/>
  <c r="DA120" i="3"/>
  <c r="DB120" i="3"/>
  <c r="DC120" i="3"/>
  <c r="A121" i="3"/>
  <c r="Y121" i="3"/>
  <c r="CY121" i="3"/>
  <c r="CZ121" i="3"/>
  <c r="DA121" i="3"/>
  <c r="DB121" i="3"/>
  <c r="DC121" i="3"/>
  <c r="A122" i="3"/>
  <c r="Y122" i="3"/>
  <c r="CY122" i="3"/>
  <c r="CZ122" i="3"/>
  <c r="DA122" i="3"/>
  <c r="DB122" i="3"/>
  <c r="DC122" i="3"/>
  <c r="A123" i="3"/>
  <c r="Y123" i="3"/>
  <c r="CY123" i="3"/>
  <c r="CZ123" i="3"/>
  <c r="DA123" i="3"/>
  <c r="DB123" i="3"/>
  <c r="DC123" i="3"/>
  <c r="A124" i="3"/>
  <c r="Y124" i="3"/>
  <c r="CY124" i="3"/>
  <c r="CZ124" i="3"/>
  <c r="DA124" i="3"/>
  <c r="DB124" i="3"/>
  <c r="DC124" i="3"/>
  <c r="A125" i="3"/>
  <c r="Y125" i="3"/>
  <c r="CY125" i="3"/>
  <c r="CZ125" i="3"/>
  <c r="DA125" i="3"/>
  <c r="DB125" i="3"/>
  <c r="DC125" i="3"/>
  <c r="A126" i="3"/>
  <c r="Y126" i="3"/>
  <c r="CY126" i="3"/>
  <c r="CZ126" i="3"/>
  <c r="DA126" i="3"/>
  <c r="DB126" i="3"/>
  <c r="DC126" i="3"/>
  <c r="A127" i="3"/>
  <c r="Y127" i="3"/>
  <c r="CY127" i="3"/>
  <c r="CZ127" i="3"/>
  <c r="DA127" i="3"/>
  <c r="DB127" i="3"/>
  <c r="DC127" i="3"/>
  <c r="A128" i="3"/>
  <c r="Y128" i="3"/>
  <c r="CY128" i="3"/>
  <c r="CZ128" i="3"/>
  <c r="DA128" i="3"/>
  <c r="DB128" i="3"/>
  <c r="DC128" i="3"/>
  <c r="A129" i="3"/>
  <c r="Y129" i="3"/>
  <c r="CY129" i="3"/>
  <c r="CZ129" i="3"/>
  <c r="DA129" i="3"/>
  <c r="DB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A131" i="3"/>
  <c r="DB131" i="3"/>
  <c r="DC131" i="3"/>
  <c r="A132" i="3"/>
  <c r="Y132" i="3"/>
  <c r="CY132" i="3"/>
  <c r="CZ132" i="3"/>
  <c r="DA132" i="3"/>
  <c r="DB132" i="3"/>
  <c r="DC132" i="3"/>
  <c r="A133" i="3"/>
  <c r="Y133" i="3"/>
  <c r="CY133" i="3"/>
  <c r="CZ133" i="3"/>
  <c r="DA133" i="3"/>
  <c r="DB133" i="3"/>
  <c r="DC133" i="3"/>
  <c r="A134" i="3"/>
  <c r="Y134" i="3"/>
  <c r="CY134" i="3"/>
  <c r="CZ134" i="3"/>
  <c r="DA134" i="3"/>
  <c r="DB134" i="3"/>
  <c r="DC134" i="3"/>
  <c r="A135" i="3"/>
  <c r="Y135" i="3"/>
  <c r="CY135" i="3"/>
  <c r="CZ135" i="3"/>
  <c r="DA135" i="3"/>
  <c r="DB135" i="3"/>
  <c r="DC135" i="3"/>
  <c r="A136" i="3"/>
  <c r="Y136" i="3"/>
  <c r="CU136" i="3"/>
  <c r="CV136" i="3"/>
  <c r="CX136" i="3"/>
  <c r="CY136" i="3"/>
  <c r="CZ136" i="3"/>
  <c r="DA136" i="3"/>
  <c r="DB136" i="3"/>
  <c r="DC136" i="3"/>
  <c r="DF136" i="3"/>
  <c r="DG136" i="3"/>
  <c r="DH136" i="3"/>
  <c r="DI136" i="3"/>
  <c r="DJ136" i="3"/>
  <c r="A137" i="3"/>
  <c r="Y137" i="3"/>
  <c r="CX137" i="3"/>
  <c r="CY137" i="3"/>
  <c r="CZ137" i="3"/>
  <c r="DA137" i="3"/>
  <c r="DB137" i="3"/>
  <c r="DC137" i="3"/>
  <c r="DF137" i="3"/>
  <c r="DG137" i="3"/>
  <c r="DH137" i="3"/>
  <c r="DI137" i="3"/>
  <c r="DJ137" i="3"/>
  <c r="A138" i="3"/>
  <c r="Y138" i="3"/>
  <c r="CW138" i="3"/>
  <c r="CX138" i="3"/>
  <c r="CY138" i="3"/>
  <c r="CZ138" i="3"/>
  <c r="DA138" i="3"/>
  <c r="DB138" i="3"/>
  <c r="DC138" i="3"/>
  <c r="DF138" i="3"/>
  <c r="DG138" i="3"/>
  <c r="DH138" i="3"/>
  <c r="DI138" i="3"/>
  <c r="DJ138" i="3"/>
  <c r="A139" i="3"/>
  <c r="Y139" i="3"/>
  <c r="CW139" i="3"/>
  <c r="CX139" i="3"/>
  <c r="CY139" i="3"/>
  <c r="CZ139" i="3"/>
  <c r="DA139" i="3"/>
  <c r="DB139" i="3"/>
  <c r="DC139" i="3"/>
  <c r="DF139" i="3"/>
  <c r="DG139" i="3"/>
  <c r="DH139" i="3"/>
  <c r="DI139" i="3"/>
  <c r="DJ139" i="3"/>
  <c r="A140" i="3"/>
  <c r="Y140" i="3"/>
  <c r="CX140" i="3"/>
  <c r="CY140" i="3"/>
  <c r="CZ140" i="3"/>
  <c r="DA140" i="3"/>
  <c r="DB140" i="3"/>
  <c r="DC140" i="3"/>
  <c r="DF140" i="3"/>
  <c r="DG140" i="3"/>
  <c r="DH140" i="3"/>
  <c r="DI140" i="3"/>
  <c r="DJ140" i="3"/>
  <c r="A141" i="3"/>
  <c r="Y141" i="3"/>
  <c r="CX141" i="3"/>
  <c r="CY141" i="3"/>
  <c r="CZ141" i="3"/>
  <c r="DA141" i="3"/>
  <c r="DB141" i="3"/>
  <c r="DC141" i="3"/>
  <c r="DF141" i="3"/>
  <c r="DG141" i="3"/>
  <c r="DH141" i="3"/>
  <c r="DI141" i="3"/>
  <c r="DJ141" i="3"/>
  <c r="A142" i="3"/>
  <c r="Y142" i="3"/>
  <c r="CX142" i="3"/>
  <c r="CY142" i="3"/>
  <c r="CZ142" i="3"/>
  <c r="DA142" i="3"/>
  <c r="DB142" i="3"/>
  <c r="DC142" i="3"/>
  <c r="DF142" i="3"/>
  <c r="DG142" i="3"/>
  <c r="DH142" i="3"/>
  <c r="DI142" i="3"/>
  <c r="DJ142" i="3"/>
  <c r="A143" i="3"/>
  <c r="Y143" i="3"/>
  <c r="CX143" i="3"/>
  <c r="CY143" i="3"/>
  <c r="CZ143" i="3"/>
  <c r="DA143" i="3"/>
  <c r="DB143" i="3"/>
  <c r="DC143" i="3"/>
  <c r="DF143" i="3"/>
  <c r="DG143" i="3"/>
  <c r="DH143" i="3"/>
  <c r="DI143" i="3"/>
  <c r="DJ143" i="3"/>
  <c r="A144" i="3"/>
  <c r="Y144" i="3"/>
  <c r="CX144" i="3"/>
  <c r="CY144" i="3"/>
  <c r="CZ144" i="3"/>
  <c r="DA144" i="3"/>
  <c r="DB144" i="3"/>
  <c r="DC144" i="3"/>
  <c r="DF144" i="3"/>
  <c r="DG144" i="3"/>
  <c r="DH144" i="3"/>
  <c r="DI144" i="3"/>
  <c r="DJ144" i="3"/>
  <c r="A145" i="3"/>
  <c r="Y145" i="3"/>
  <c r="CX145" i="3"/>
  <c r="CY145" i="3"/>
  <c r="CZ145" i="3"/>
  <c r="DA145" i="3"/>
  <c r="DB145" i="3"/>
  <c r="DC145" i="3"/>
  <c r="DF145" i="3"/>
  <c r="DG145" i="3"/>
  <c r="DH145" i="3"/>
  <c r="DI145" i="3"/>
  <c r="DJ145" i="3"/>
  <c r="A146" i="3"/>
  <c r="Y146" i="3"/>
  <c r="CX146" i="3"/>
  <c r="CY146" i="3"/>
  <c r="CZ146" i="3"/>
  <c r="DA146" i="3"/>
  <c r="DB146" i="3"/>
  <c r="DC146" i="3"/>
  <c r="DF146" i="3"/>
  <c r="DG146" i="3"/>
  <c r="DH146" i="3"/>
  <c r="DI146" i="3"/>
  <c r="DJ146" i="3"/>
  <c r="A147" i="3"/>
  <c r="Y147" i="3"/>
  <c r="CU147" i="3"/>
  <c r="CV147" i="3"/>
  <c r="CX147" i="3"/>
  <c r="CY147" i="3"/>
  <c r="CZ147" i="3"/>
  <c r="DA147" i="3"/>
  <c r="DB147" i="3"/>
  <c r="DC147" i="3"/>
  <c r="DF147" i="3"/>
  <c r="DG147" i="3"/>
  <c r="DH147" i="3"/>
  <c r="DI147" i="3"/>
  <c r="DJ147" i="3"/>
  <c r="A148" i="3"/>
  <c r="Y148" i="3"/>
  <c r="CX148" i="3"/>
  <c r="CY148" i="3"/>
  <c r="CZ148" i="3"/>
  <c r="DA148" i="3"/>
  <c r="DB148" i="3"/>
  <c r="DC148" i="3"/>
  <c r="DF148" i="3"/>
  <c r="DG148" i="3"/>
  <c r="DH148" i="3"/>
  <c r="DI148" i="3"/>
  <c r="DJ148" i="3"/>
  <c r="A149" i="3"/>
  <c r="Y149" i="3"/>
  <c r="CW149" i="3"/>
  <c r="CX149" i="3"/>
  <c r="CY149" i="3"/>
  <c r="CZ149" i="3"/>
  <c r="DA149" i="3"/>
  <c r="DB149" i="3"/>
  <c r="DC149" i="3"/>
  <c r="DF149" i="3"/>
  <c r="DG149" i="3"/>
  <c r="DH149" i="3"/>
  <c r="DI149" i="3"/>
  <c r="DJ149" i="3"/>
  <c r="A150" i="3"/>
  <c r="Y150" i="3"/>
  <c r="CW150" i="3"/>
  <c r="CX150" i="3"/>
  <c r="CY150" i="3"/>
  <c r="CZ150" i="3"/>
  <c r="DA150" i="3"/>
  <c r="DB150" i="3"/>
  <c r="DC150" i="3"/>
  <c r="DF150" i="3"/>
  <c r="DG150" i="3"/>
  <c r="DH150" i="3"/>
  <c r="DI150" i="3"/>
  <c r="DJ150" i="3"/>
  <c r="A151" i="3"/>
  <c r="Y151" i="3"/>
  <c r="CW151" i="3"/>
  <c r="CX151" i="3"/>
  <c r="CY151" i="3"/>
  <c r="CZ151" i="3"/>
  <c r="DA151" i="3"/>
  <c r="DB151" i="3"/>
  <c r="DC151" i="3"/>
  <c r="DF151" i="3"/>
  <c r="DG151" i="3"/>
  <c r="DH151" i="3"/>
  <c r="DI151" i="3"/>
  <c r="DJ151" i="3"/>
  <c r="A152" i="3"/>
  <c r="Y152" i="3"/>
  <c r="CX152" i="3"/>
  <c r="CY152" i="3"/>
  <c r="CZ152" i="3"/>
  <c r="DA152" i="3"/>
  <c r="DB152" i="3"/>
  <c r="DC152" i="3"/>
  <c r="DF152" i="3"/>
  <c r="DG152" i="3"/>
  <c r="DH152" i="3"/>
  <c r="DI152" i="3"/>
  <c r="DJ152" i="3"/>
  <c r="A153" i="3"/>
  <c r="Y153" i="3"/>
  <c r="CX153" i="3"/>
  <c r="CY153" i="3"/>
  <c r="CZ153" i="3"/>
  <c r="DA153" i="3"/>
  <c r="DB153" i="3"/>
  <c r="DC153" i="3"/>
  <c r="DF153" i="3"/>
  <c r="DG153" i="3"/>
  <c r="DH153" i="3"/>
  <c r="DI153" i="3"/>
  <c r="DJ153" i="3"/>
  <c r="A154" i="3"/>
  <c r="Y154" i="3"/>
  <c r="CX154" i="3"/>
  <c r="CY154" i="3"/>
  <c r="CZ154" i="3"/>
  <c r="DA154" i="3"/>
  <c r="DB154" i="3"/>
  <c r="DC154" i="3"/>
  <c r="DF154" i="3"/>
  <c r="DG154" i="3"/>
  <c r="DH154" i="3"/>
  <c r="DI154" i="3"/>
  <c r="DJ154" i="3"/>
  <c r="A155" i="3"/>
  <c r="Y155" i="3"/>
  <c r="CX155" i="3"/>
  <c r="CY155" i="3"/>
  <c r="CZ155" i="3"/>
  <c r="DA155" i="3"/>
  <c r="DB155" i="3"/>
  <c r="DC155" i="3"/>
  <c r="DF155" i="3"/>
  <c r="DG155" i="3"/>
  <c r="DH155" i="3"/>
  <c r="DI155" i="3"/>
  <c r="DJ155" i="3"/>
  <c r="A156" i="3"/>
  <c r="Y156" i="3"/>
  <c r="CX156" i="3"/>
  <c r="CY156" i="3"/>
  <c r="CZ156" i="3"/>
  <c r="DA156" i="3"/>
  <c r="DB156" i="3"/>
  <c r="DC156" i="3"/>
  <c r="DF156" i="3"/>
  <c r="DG156" i="3"/>
  <c r="DH156" i="3"/>
  <c r="DI156" i="3"/>
  <c r="DJ156" i="3"/>
  <c r="A157" i="3"/>
  <c r="Y157" i="3"/>
  <c r="CX157" i="3"/>
  <c r="CY157" i="3"/>
  <c r="CZ157" i="3"/>
  <c r="DA157" i="3"/>
  <c r="DB157" i="3"/>
  <c r="DC157" i="3"/>
  <c r="DF157" i="3"/>
  <c r="DG157" i="3"/>
  <c r="DH157" i="3"/>
  <c r="DI157" i="3"/>
  <c r="DJ157" i="3"/>
  <c r="A158" i="3"/>
  <c r="Y158" i="3"/>
  <c r="CY158" i="3"/>
  <c r="CZ158" i="3"/>
  <c r="DA158" i="3"/>
  <c r="DB158" i="3"/>
  <c r="DC158" i="3"/>
  <c r="A159" i="3"/>
  <c r="Y159" i="3"/>
  <c r="CY159" i="3"/>
  <c r="CZ159" i="3"/>
  <c r="DA159" i="3"/>
  <c r="DB159" i="3"/>
  <c r="DC159" i="3"/>
  <c r="A160" i="3"/>
  <c r="Y160" i="3"/>
  <c r="CY160" i="3"/>
  <c r="CZ160" i="3"/>
  <c r="DA160" i="3"/>
  <c r="DB160" i="3"/>
  <c r="DC160" i="3"/>
  <c r="A161" i="3"/>
  <c r="Y161" i="3"/>
  <c r="CY161" i="3"/>
  <c r="CZ161" i="3"/>
  <c r="DA161" i="3"/>
  <c r="DB161" i="3"/>
  <c r="DC161" i="3"/>
  <c r="A162" i="3"/>
  <c r="Y162" i="3"/>
  <c r="CY162" i="3"/>
  <c r="CZ162" i="3"/>
  <c r="DA162" i="3"/>
  <c r="DB162" i="3"/>
  <c r="DC162" i="3"/>
  <c r="A163" i="3"/>
  <c r="Y163" i="3"/>
  <c r="CY163" i="3"/>
  <c r="CZ163" i="3"/>
  <c r="DA163" i="3"/>
  <c r="DB163" i="3"/>
  <c r="DC163" i="3"/>
  <c r="A164" i="3"/>
  <c r="Y164" i="3"/>
  <c r="CY164" i="3"/>
  <c r="CZ164" i="3"/>
  <c r="DA164" i="3"/>
  <c r="DB164" i="3"/>
  <c r="DC164" i="3"/>
  <c r="A165" i="3"/>
  <c r="Y165" i="3"/>
  <c r="CY165" i="3"/>
  <c r="CZ165" i="3"/>
  <c r="DA165" i="3"/>
  <c r="DB165" i="3"/>
  <c r="DC165" i="3"/>
  <c r="A166" i="3"/>
  <c r="Y166" i="3"/>
  <c r="CY166" i="3"/>
  <c r="CZ166" i="3"/>
  <c r="DA166" i="3"/>
  <c r="DB166" i="3"/>
  <c r="DC166" i="3"/>
  <c r="A167" i="3"/>
  <c r="Y167" i="3"/>
  <c r="CY167" i="3"/>
  <c r="CZ167" i="3"/>
  <c r="DA167" i="3"/>
  <c r="DB167" i="3"/>
  <c r="DC167" i="3"/>
  <c r="A168" i="3"/>
  <c r="Y168" i="3"/>
  <c r="CY168" i="3"/>
  <c r="CZ168" i="3"/>
  <c r="DA168" i="3"/>
  <c r="DB168" i="3"/>
  <c r="DC168" i="3"/>
  <c r="A169" i="3"/>
  <c r="Y169" i="3"/>
  <c r="CY169" i="3"/>
  <c r="CZ169" i="3"/>
  <c r="DA169" i="3"/>
  <c r="DB169" i="3"/>
  <c r="DC169" i="3"/>
  <c r="A170" i="3"/>
  <c r="Y170" i="3"/>
  <c r="CY170" i="3"/>
  <c r="CZ170" i="3"/>
  <c r="DA170" i="3"/>
  <c r="DB170" i="3"/>
  <c r="DC170" i="3"/>
  <c r="A171" i="3"/>
  <c r="Y171" i="3"/>
  <c r="CY171" i="3"/>
  <c r="CZ171" i="3"/>
  <c r="DA171" i="3"/>
  <c r="DB171" i="3"/>
  <c r="DC171" i="3"/>
  <c r="A172" i="3"/>
  <c r="Y172" i="3"/>
  <c r="CY172" i="3"/>
  <c r="CZ172" i="3"/>
  <c r="DA172" i="3"/>
  <c r="DB172" i="3"/>
  <c r="DC172" i="3"/>
  <c r="A173" i="3"/>
  <c r="Y173" i="3"/>
  <c r="CY173" i="3"/>
  <c r="CZ173" i="3"/>
  <c r="DA173" i="3"/>
  <c r="DB173" i="3"/>
  <c r="DC173" i="3"/>
  <c r="A174" i="3"/>
  <c r="Y174" i="3"/>
  <c r="CY174" i="3"/>
  <c r="CZ174" i="3"/>
  <c r="DA174" i="3"/>
  <c r="DB174" i="3"/>
  <c r="DC174" i="3"/>
  <c r="A175" i="3"/>
  <c r="Y175" i="3"/>
  <c r="CU175" i="3"/>
  <c r="CV175" i="3"/>
  <c r="CX175" i="3"/>
  <c r="CY175" i="3"/>
  <c r="CZ175" i="3"/>
  <c r="DA175" i="3"/>
  <c r="DB175" i="3"/>
  <c r="DC175" i="3"/>
  <c r="DF175" i="3"/>
  <c r="DG175" i="3"/>
  <c r="DH175" i="3"/>
  <c r="DI175" i="3"/>
  <c r="DJ175" i="3"/>
  <c r="A176" i="3"/>
  <c r="Y176" i="3"/>
  <c r="CU176" i="3"/>
  <c r="CV176" i="3"/>
  <c r="CX176" i="3"/>
  <c r="CY176" i="3"/>
  <c r="CZ176" i="3"/>
  <c r="DA176" i="3"/>
  <c r="DB176" i="3"/>
  <c r="DC176" i="3"/>
  <c r="DF176" i="3"/>
  <c r="DG176" i="3"/>
  <c r="DH176" i="3"/>
  <c r="DI176" i="3"/>
  <c r="DJ176" i="3"/>
  <c r="A177" i="3"/>
  <c r="Y177" i="3"/>
  <c r="CU177" i="3"/>
  <c r="CV177" i="3"/>
  <c r="CX177" i="3"/>
  <c r="CY177" i="3"/>
  <c r="CZ177" i="3"/>
  <c r="DA177" i="3"/>
  <c r="DB177" i="3"/>
  <c r="DC177" i="3"/>
  <c r="DF177" i="3"/>
  <c r="DG177" i="3"/>
  <c r="DH177" i="3"/>
  <c r="DI177" i="3"/>
  <c r="DJ177" i="3"/>
  <c r="A178" i="3"/>
  <c r="Y178" i="3"/>
  <c r="CU178" i="3"/>
  <c r="CV178" i="3"/>
  <c r="CX178" i="3"/>
  <c r="CY178" i="3"/>
  <c r="CZ178" i="3"/>
  <c r="DA178" i="3"/>
  <c r="DB178" i="3"/>
  <c r="DC178" i="3"/>
  <c r="DF178" i="3"/>
  <c r="DG178" i="3"/>
  <c r="DH178" i="3"/>
  <c r="DI178" i="3"/>
  <c r="DJ178" i="3"/>
  <c r="A179" i="3"/>
  <c r="Y179" i="3"/>
  <c r="CU179" i="3"/>
  <c r="CV179" i="3"/>
  <c r="CX179" i="3"/>
  <c r="CY179" i="3"/>
  <c r="CZ179" i="3"/>
  <c r="DA179" i="3"/>
  <c r="DB179" i="3"/>
  <c r="DC179" i="3"/>
  <c r="DF179" i="3"/>
  <c r="DG179" i="3"/>
  <c r="DH179" i="3"/>
  <c r="DI179" i="3"/>
  <c r="DJ179" i="3"/>
  <c r="A180" i="3"/>
  <c r="Y180" i="3"/>
  <c r="CU180" i="3"/>
  <c r="CV180" i="3"/>
  <c r="CX180" i="3"/>
  <c r="CY180" i="3"/>
  <c r="CZ180" i="3"/>
  <c r="DA180" i="3"/>
  <c r="DB180" i="3"/>
  <c r="DC180" i="3"/>
  <c r="DF180" i="3"/>
  <c r="DG180" i="3"/>
  <c r="DH180" i="3"/>
  <c r="DI180" i="3"/>
  <c r="DJ180" i="3"/>
  <c r="A181" i="3"/>
  <c r="Y181" i="3"/>
  <c r="CU181" i="3"/>
  <c r="CV181" i="3"/>
  <c r="CX181" i="3"/>
  <c r="CY181" i="3"/>
  <c r="CZ181" i="3"/>
  <c r="DA181" i="3"/>
  <c r="DB181" i="3"/>
  <c r="DC181" i="3"/>
  <c r="DF181" i="3"/>
  <c r="DG181" i="3"/>
  <c r="DH181" i="3"/>
  <c r="DI181" i="3"/>
  <c r="DJ181" i="3"/>
  <c r="A182" i="3"/>
  <c r="Y182" i="3"/>
  <c r="CU182" i="3"/>
  <c r="CV182" i="3"/>
  <c r="CX182" i="3"/>
  <c r="CY182" i="3"/>
  <c r="CZ182" i="3"/>
  <c r="DA182" i="3"/>
  <c r="DB182" i="3"/>
  <c r="DC182" i="3"/>
  <c r="DF182" i="3"/>
  <c r="DG182" i="3"/>
  <c r="DH182" i="3"/>
  <c r="DI182" i="3"/>
  <c r="DJ182" i="3"/>
  <c r="A183" i="3"/>
  <c r="Y183" i="3"/>
  <c r="CU183" i="3"/>
  <c r="CV183" i="3"/>
  <c r="CX183" i="3"/>
  <c r="CY183" i="3"/>
  <c r="CZ183" i="3"/>
  <c r="DA183" i="3"/>
  <c r="DB183" i="3"/>
  <c r="DC183" i="3"/>
  <c r="DF183" i="3"/>
  <c r="DG183" i="3"/>
  <c r="DH183" i="3"/>
  <c r="DI183" i="3"/>
  <c r="DJ183" i="3"/>
  <c r="A184" i="3"/>
  <c r="Y184" i="3"/>
  <c r="CU184" i="3"/>
  <c r="CV184" i="3"/>
  <c r="CX184" i="3"/>
  <c r="CY184" i="3"/>
  <c r="CZ184" i="3"/>
  <c r="DA184" i="3"/>
  <c r="DB184" i="3"/>
  <c r="DC184" i="3"/>
  <c r="DF184" i="3"/>
  <c r="DG184" i="3"/>
  <c r="DH184" i="3"/>
  <c r="DI184" i="3"/>
  <c r="DJ184" i="3"/>
  <c r="A185" i="3"/>
  <c r="Y185" i="3"/>
  <c r="CY185" i="3"/>
  <c r="CZ185" i="3"/>
  <c r="DA185" i="3"/>
  <c r="DB185" i="3"/>
  <c r="DC185" i="3"/>
  <c r="A186" i="3"/>
  <c r="Y186" i="3"/>
  <c r="CY186" i="3"/>
  <c r="CZ186" i="3"/>
  <c r="DA186" i="3"/>
  <c r="DB186" i="3"/>
  <c r="DC18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B24" i="1"/>
  <c r="B22" i="1" s="1"/>
  <c r="C24" i="1"/>
  <c r="C22" i="1" s="1"/>
  <c r="D24" i="1"/>
  <c r="D22" i="1" s="1"/>
  <c r="F24" i="1"/>
  <c r="F22" i="1" s="1"/>
  <c r="G24" i="1"/>
  <c r="G22" i="1" s="1"/>
  <c r="O24" i="1"/>
  <c r="O22" i="1" s="1"/>
  <c r="P24" i="1"/>
  <c r="P22" i="1" s="1"/>
  <c r="Q24" i="1"/>
  <c r="Q22" i="1" s="1"/>
  <c r="R24" i="1"/>
  <c r="R22" i="1" s="1"/>
  <c r="S24" i="1"/>
  <c r="S22" i="1" s="1"/>
  <c r="T24" i="1"/>
  <c r="T22" i="1" s="1"/>
  <c r="U24" i="1"/>
  <c r="U22" i="1" s="1"/>
  <c r="V24" i="1"/>
  <c r="V22" i="1" s="1"/>
  <c r="W24" i="1"/>
  <c r="W22" i="1" s="1"/>
  <c r="X24" i="1"/>
  <c r="X22" i="1" s="1"/>
  <c r="Y24" i="1"/>
  <c r="Y22" i="1" s="1"/>
  <c r="AO24" i="1"/>
  <c r="AO22" i="1" s="1"/>
  <c r="AP24" i="1"/>
  <c r="AP22" i="1" s="1"/>
  <c r="AQ24" i="1"/>
  <c r="AQ22" i="1" s="1"/>
  <c r="AR24" i="1"/>
  <c r="AR22" i="1" s="1"/>
  <c r="AS24" i="1"/>
  <c r="AS22" i="1" s="1"/>
  <c r="AT24" i="1"/>
  <c r="AT22" i="1" s="1"/>
  <c r="AU24" i="1"/>
  <c r="AU22" i="1" s="1"/>
  <c r="AV24" i="1"/>
  <c r="AV22" i="1" s="1"/>
  <c r="AW24" i="1"/>
  <c r="AW22" i="1" s="1"/>
  <c r="AX24" i="1"/>
  <c r="AX22" i="1" s="1"/>
  <c r="AY24" i="1"/>
  <c r="AY22" i="1" s="1"/>
  <c r="AZ24" i="1"/>
  <c r="AZ22" i="1" s="1"/>
  <c r="BA24" i="1"/>
  <c r="BA22" i="1" s="1"/>
  <c r="BB24" i="1"/>
  <c r="BB22" i="1" s="1"/>
  <c r="BC24" i="1"/>
  <c r="BC22" i="1" s="1"/>
  <c r="BD24" i="1"/>
  <c r="BD22" i="1" s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D54" i="1"/>
  <c r="E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EG56" i="1"/>
  <c r="EH56" i="1"/>
  <c r="EI56" i="1"/>
  <c r="EJ56" i="1"/>
  <c r="EK56" i="1"/>
  <c r="EL56" i="1"/>
  <c r="EM56" i="1"/>
  <c r="EN56" i="1"/>
  <c r="EO56" i="1"/>
  <c r="EP56" i="1"/>
  <c r="EQ56" i="1"/>
  <c r="ER56" i="1"/>
  <c r="ES56" i="1"/>
  <c r="ET56" i="1"/>
  <c r="EU56" i="1"/>
  <c r="EV56" i="1"/>
  <c r="EW56" i="1"/>
  <c r="EX56" i="1"/>
  <c r="EY56" i="1"/>
  <c r="EZ56" i="1"/>
  <c r="FA56" i="1"/>
  <c r="FB56" i="1"/>
  <c r="FC56" i="1"/>
  <c r="FD56" i="1"/>
  <c r="FE56" i="1"/>
  <c r="FF56" i="1"/>
  <c r="FG56" i="1"/>
  <c r="FH56" i="1"/>
  <c r="FI56" i="1"/>
  <c r="FJ56" i="1"/>
  <c r="FK56" i="1"/>
  <c r="FL56" i="1"/>
  <c r="FM56" i="1"/>
  <c r="FN56" i="1"/>
  <c r="FO56" i="1"/>
  <c r="FP56" i="1"/>
  <c r="FQ56" i="1"/>
  <c r="FR56" i="1"/>
  <c r="FS56" i="1"/>
  <c r="FT56" i="1"/>
  <c r="FU56" i="1"/>
  <c r="FV56" i="1"/>
  <c r="FW56" i="1"/>
  <c r="FX56" i="1"/>
  <c r="FY56" i="1"/>
  <c r="FZ56" i="1"/>
  <c r="GA56" i="1"/>
  <c r="GB56" i="1"/>
  <c r="GC56" i="1"/>
  <c r="GD56" i="1"/>
  <c r="GE56" i="1"/>
  <c r="GF56" i="1"/>
  <c r="GG56" i="1"/>
  <c r="GH56" i="1"/>
  <c r="GI56" i="1"/>
  <c r="GJ56" i="1"/>
  <c r="GK56" i="1"/>
  <c r="GL56" i="1"/>
  <c r="GM56" i="1"/>
  <c r="GN56" i="1"/>
  <c r="GO56" i="1"/>
  <c r="GP56" i="1"/>
  <c r="GQ56" i="1"/>
  <c r="GR56" i="1"/>
  <c r="GS56" i="1"/>
  <c r="GT56" i="1"/>
  <c r="GU56" i="1"/>
  <c r="GV56" i="1"/>
  <c r="GW56" i="1"/>
  <c r="GX56" i="1"/>
  <c r="D58" i="1"/>
  <c r="E60" i="1"/>
  <c r="Z60" i="1"/>
  <c r="AA60" i="1"/>
  <c r="AM60" i="1"/>
  <c r="AN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EH60" i="1"/>
  <c r="EI60" i="1"/>
  <c r="EJ60" i="1"/>
  <c r="EK60" i="1"/>
  <c r="EL60" i="1"/>
  <c r="EM60" i="1"/>
  <c r="EN60" i="1"/>
  <c r="EO60" i="1"/>
  <c r="EP60" i="1"/>
  <c r="EQ60" i="1"/>
  <c r="ER60" i="1"/>
  <c r="ES60" i="1"/>
  <c r="ET60" i="1"/>
  <c r="EU60" i="1"/>
  <c r="EV60" i="1"/>
  <c r="EW60" i="1"/>
  <c r="EX60" i="1"/>
  <c r="EY60" i="1"/>
  <c r="EZ60" i="1"/>
  <c r="FA60" i="1"/>
  <c r="FB60" i="1"/>
  <c r="FC60" i="1"/>
  <c r="FD60" i="1"/>
  <c r="FE60" i="1"/>
  <c r="FF60" i="1"/>
  <c r="FG60" i="1"/>
  <c r="FH60" i="1"/>
  <c r="FI60" i="1"/>
  <c r="FJ60" i="1"/>
  <c r="FK60" i="1"/>
  <c r="FL60" i="1"/>
  <c r="FM60" i="1"/>
  <c r="FN60" i="1"/>
  <c r="FO60" i="1"/>
  <c r="FP60" i="1"/>
  <c r="FQ60" i="1"/>
  <c r="FR60" i="1"/>
  <c r="FS60" i="1"/>
  <c r="FT60" i="1"/>
  <c r="FU60" i="1"/>
  <c r="FV60" i="1"/>
  <c r="FW60" i="1"/>
  <c r="FX60" i="1"/>
  <c r="FY60" i="1"/>
  <c r="FZ60" i="1"/>
  <c r="GA60" i="1"/>
  <c r="GB60" i="1"/>
  <c r="GC60" i="1"/>
  <c r="GD60" i="1"/>
  <c r="GE60" i="1"/>
  <c r="GF60" i="1"/>
  <c r="GG60" i="1"/>
  <c r="GH60" i="1"/>
  <c r="GI60" i="1"/>
  <c r="GJ60" i="1"/>
  <c r="GK60" i="1"/>
  <c r="GL60" i="1"/>
  <c r="GM60" i="1"/>
  <c r="GN60" i="1"/>
  <c r="GO60" i="1"/>
  <c r="GP60" i="1"/>
  <c r="GQ60" i="1"/>
  <c r="GR60" i="1"/>
  <c r="GS60" i="1"/>
  <c r="GT60" i="1"/>
  <c r="GU60" i="1"/>
  <c r="GV60" i="1"/>
  <c r="GW60" i="1"/>
  <c r="GX60" i="1"/>
  <c r="C62" i="1"/>
  <c r="D62" i="1"/>
  <c r="P62" i="1"/>
  <c r="Q62" i="1"/>
  <c r="R62" i="1"/>
  <c r="S62" i="1"/>
  <c r="U62" i="1"/>
  <c r="G56" i="7" s="1"/>
  <c r="V62" i="1"/>
  <c r="G59" i="7" s="1"/>
  <c r="AC62" i="1"/>
  <c r="AE62" i="1"/>
  <c r="AD62" i="1" s="1"/>
  <c r="AF62" i="1"/>
  <c r="AG62" i="1"/>
  <c r="AH62" i="1"/>
  <c r="AI62" i="1"/>
  <c r="AJ62" i="1"/>
  <c r="CP62" i="1"/>
  <c r="O62" i="1" s="1"/>
  <c r="CQ62" i="1"/>
  <c r="CR62" i="1"/>
  <c r="CS62" i="1"/>
  <c r="CT62" i="1"/>
  <c r="CU62" i="1"/>
  <c r="T62" i="1" s="1"/>
  <c r="CV62" i="1"/>
  <c r="CW62" i="1"/>
  <c r="CX62" i="1"/>
  <c r="W62" i="1" s="1"/>
  <c r="CY62" i="1"/>
  <c r="X62" i="1" s="1"/>
  <c r="AZ68" i="7" s="1"/>
  <c r="CZ62" i="1"/>
  <c r="Y62" i="1" s="1"/>
  <c r="BA68" i="7" s="1"/>
  <c r="FR62" i="1"/>
  <c r="GL62" i="1"/>
  <c r="GO62" i="1"/>
  <c r="GP62" i="1"/>
  <c r="GV62" i="1"/>
  <c r="HC62" i="1"/>
  <c r="GX62" i="1" s="1"/>
  <c r="GM62" i="1" s="1"/>
  <c r="GN62" i="1" s="1"/>
  <c r="C63" i="1"/>
  <c r="D63" i="1"/>
  <c r="P63" i="1"/>
  <c r="Q63" i="1"/>
  <c r="R63" i="1"/>
  <c r="S63" i="1"/>
  <c r="U63" i="1"/>
  <c r="G70" i="7" s="1"/>
  <c r="V63" i="1"/>
  <c r="G73" i="7" s="1"/>
  <c r="AC63" i="1"/>
  <c r="AE63" i="1"/>
  <c r="AD63" i="1" s="1"/>
  <c r="AF63" i="1"/>
  <c r="AG63" i="1"/>
  <c r="AH63" i="1"/>
  <c r="AI63" i="1"/>
  <c r="AJ63" i="1"/>
  <c r="CP63" i="1"/>
  <c r="O63" i="1" s="1"/>
  <c r="CQ63" i="1"/>
  <c r="CR63" i="1"/>
  <c r="CS63" i="1"/>
  <c r="CT63" i="1"/>
  <c r="CU63" i="1"/>
  <c r="T63" i="1" s="1"/>
  <c r="CV63" i="1"/>
  <c r="CW63" i="1"/>
  <c r="CX63" i="1"/>
  <c r="W63" i="1" s="1"/>
  <c r="CY63" i="1"/>
  <c r="X63" i="1" s="1"/>
  <c r="AZ83" i="7" s="1"/>
  <c r="L81" i="7" s="1"/>
  <c r="CZ63" i="1"/>
  <c r="Y63" i="1" s="1"/>
  <c r="BA83" i="7" s="1"/>
  <c r="L82" i="7" s="1"/>
  <c r="FR63" i="1"/>
  <c r="GL63" i="1"/>
  <c r="GO63" i="1"/>
  <c r="GP63" i="1"/>
  <c r="GV63" i="1"/>
  <c r="HC63" i="1"/>
  <c r="GX63" i="1" s="1"/>
  <c r="GM63" i="1" s="1"/>
  <c r="GN63" i="1" s="1"/>
  <c r="C64" i="1"/>
  <c r="D64" i="1"/>
  <c r="P64" i="1"/>
  <c r="Q64" i="1"/>
  <c r="R64" i="1"/>
  <c r="S64" i="1"/>
  <c r="U64" i="1"/>
  <c r="G85" i="7" s="1"/>
  <c r="V64" i="1"/>
  <c r="G88" i="7" s="1"/>
  <c r="AC64" i="1"/>
  <c r="AE64" i="1"/>
  <c r="AD64" i="1" s="1"/>
  <c r="AF64" i="1"/>
  <c r="AG64" i="1"/>
  <c r="AH64" i="1"/>
  <c r="AI64" i="1"/>
  <c r="AJ64" i="1"/>
  <c r="CP64" i="1"/>
  <c r="O64" i="1" s="1"/>
  <c r="CQ64" i="1"/>
  <c r="CR64" i="1"/>
  <c r="CS64" i="1"/>
  <c r="CT64" i="1"/>
  <c r="CU64" i="1"/>
  <c r="T64" i="1" s="1"/>
  <c r="CV64" i="1"/>
  <c r="CW64" i="1"/>
  <c r="CX64" i="1"/>
  <c r="W64" i="1" s="1"/>
  <c r="CY64" i="1"/>
  <c r="X64" i="1" s="1"/>
  <c r="AZ96" i="7" s="1"/>
  <c r="L94" i="7" s="1"/>
  <c r="CZ64" i="1"/>
  <c r="Y64" i="1" s="1"/>
  <c r="BA96" i="7" s="1"/>
  <c r="L95" i="7" s="1"/>
  <c r="FR64" i="1"/>
  <c r="GL64" i="1"/>
  <c r="GO64" i="1"/>
  <c r="GP64" i="1"/>
  <c r="GV64" i="1"/>
  <c r="HC64" i="1"/>
  <c r="GX64" i="1" s="1"/>
  <c r="GM64" i="1" s="1"/>
  <c r="GN64" i="1" s="1"/>
  <c r="C65" i="1"/>
  <c r="D65" i="1"/>
  <c r="P65" i="1"/>
  <c r="Q65" i="1"/>
  <c r="R65" i="1"/>
  <c r="S65" i="1"/>
  <c r="U65" i="1"/>
  <c r="G98" i="7" s="1"/>
  <c r="V65" i="1"/>
  <c r="G101" i="7" s="1"/>
  <c r="AC65" i="1"/>
  <c r="AE65" i="1"/>
  <c r="AD65" i="1" s="1"/>
  <c r="AF65" i="1"/>
  <c r="AG65" i="1"/>
  <c r="AH65" i="1"/>
  <c r="AI65" i="1"/>
  <c r="AJ65" i="1"/>
  <c r="CP65" i="1"/>
  <c r="O65" i="1" s="1"/>
  <c r="CQ65" i="1"/>
  <c r="CR65" i="1"/>
  <c r="CS65" i="1"/>
  <c r="CT65" i="1"/>
  <c r="CU65" i="1"/>
  <c r="T65" i="1" s="1"/>
  <c r="CV65" i="1"/>
  <c r="CW65" i="1"/>
  <c r="CX65" i="1"/>
  <c r="W65" i="1" s="1"/>
  <c r="CY65" i="1"/>
  <c r="X65" i="1" s="1"/>
  <c r="AZ110" i="7" s="1"/>
  <c r="L108" i="7" s="1"/>
  <c r="CZ65" i="1"/>
  <c r="Y65" i="1" s="1"/>
  <c r="BA110" i="7" s="1"/>
  <c r="L109" i="7" s="1"/>
  <c r="FR65" i="1"/>
  <c r="GL65" i="1"/>
  <c r="GO65" i="1"/>
  <c r="GP65" i="1"/>
  <c r="GV65" i="1"/>
  <c r="HC65" i="1"/>
  <c r="GX65" i="1" s="1"/>
  <c r="GM65" i="1" s="1"/>
  <c r="GN65" i="1" s="1"/>
  <c r="C66" i="1"/>
  <c r="D66" i="1"/>
  <c r="P66" i="1"/>
  <c r="Q66" i="1"/>
  <c r="R66" i="1"/>
  <c r="S66" i="1"/>
  <c r="U66" i="1"/>
  <c r="G112" i="7" s="1"/>
  <c r="V66" i="1"/>
  <c r="G115" i="7" s="1"/>
  <c r="AC66" i="1"/>
  <c r="AE66" i="1"/>
  <c r="AD66" i="1" s="1"/>
  <c r="AF66" i="1"/>
  <c r="AG66" i="1"/>
  <c r="AH66" i="1"/>
  <c r="AI66" i="1"/>
  <c r="AJ66" i="1"/>
  <c r="CP66" i="1"/>
  <c r="O66" i="1" s="1"/>
  <c r="CQ66" i="1"/>
  <c r="CR66" i="1"/>
  <c r="CS66" i="1"/>
  <c r="CT66" i="1"/>
  <c r="CU66" i="1"/>
  <c r="T66" i="1" s="1"/>
  <c r="CV66" i="1"/>
  <c r="CW66" i="1"/>
  <c r="CX66" i="1"/>
  <c r="W66" i="1" s="1"/>
  <c r="CY66" i="1"/>
  <c r="X66" i="1" s="1"/>
  <c r="AZ124" i="7" s="1"/>
  <c r="L122" i="7" s="1"/>
  <c r="CZ66" i="1"/>
  <c r="Y66" i="1" s="1"/>
  <c r="BA124" i="7" s="1"/>
  <c r="L123" i="7" s="1"/>
  <c r="FR66" i="1"/>
  <c r="GL66" i="1"/>
  <c r="GO66" i="1"/>
  <c r="GP66" i="1"/>
  <c r="GV66" i="1"/>
  <c r="HC66" i="1"/>
  <c r="GX66" i="1" s="1"/>
  <c r="GM66" i="1" s="1"/>
  <c r="GN66" i="1" s="1"/>
  <c r="C67" i="1"/>
  <c r="D67" i="1"/>
  <c r="P67" i="1"/>
  <c r="Q67" i="1"/>
  <c r="R67" i="1"/>
  <c r="S67" i="1"/>
  <c r="U67" i="1"/>
  <c r="G126" i="7" s="1"/>
  <c r="V67" i="1"/>
  <c r="G129" i="7" s="1"/>
  <c r="AC67" i="1"/>
  <c r="AE67" i="1"/>
  <c r="AD67" i="1" s="1"/>
  <c r="AF67" i="1"/>
  <c r="AG67" i="1"/>
  <c r="AH67" i="1"/>
  <c r="AI67" i="1"/>
  <c r="AJ67" i="1"/>
  <c r="CP67" i="1"/>
  <c r="O67" i="1" s="1"/>
  <c r="CQ67" i="1"/>
  <c r="CR67" i="1"/>
  <c r="CS67" i="1"/>
  <c r="CT67" i="1"/>
  <c r="CU67" i="1"/>
  <c r="T67" i="1" s="1"/>
  <c r="CV67" i="1"/>
  <c r="CW67" i="1"/>
  <c r="CX67" i="1"/>
  <c r="W67" i="1" s="1"/>
  <c r="CY67" i="1"/>
  <c r="X67" i="1" s="1"/>
  <c r="AZ136" i="7" s="1"/>
  <c r="L134" i="7" s="1"/>
  <c r="CZ67" i="1"/>
  <c r="Y67" i="1" s="1"/>
  <c r="BA136" i="7" s="1"/>
  <c r="L135" i="7" s="1"/>
  <c r="FR67" i="1"/>
  <c r="GL67" i="1"/>
  <c r="GO67" i="1"/>
  <c r="GP67" i="1"/>
  <c r="GV67" i="1"/>
  <c r="HC67" i="1"/>
  <c r="GX67" i="1" s="1"/>
  <c r="GM67" i="1" s="1"/>
  <c r="GN67" i="1" s="1"/>
  <c r="C68" i="1"/>
  <c r="D68" i="1"/>
  <c r="P68" i="1"/>
  <c r="Q68" i="1"/>
  <c r="R68" i="1"/>
  <c r="S68" i="1"/>
  <c r="U68" i="1"/>
  <c r="G139" i="7" s="1"/>
  <c r="V68" i="1"/>
  <c r="G142" i="7" s="1"/>
  <c r="AC68" i="1"/>
  <c r="AE68" i="1"/>
  <c r="AD68" i="1" s="1"/>
  <c r="AF68" i="1"/>
  <c r="AG68" i="1"/>
  <c r="AH68" i="1"/>
  <c r="AI68" i="1"/>
  <c r="AJ68" i="1"/>
  <c r="CP68" i="1"/>
  <c r="O68" i="1" s="1"/>
  <c r="CQ68" i="1"/>
  <c r="CR68" i="1"/>
  <c r="CS68" i="1"/>
  <c r="CT68" i="1"/>
  <c r="CU68" i="1"/>
  <c r="T68" i="1" s="1"/>
  <c r="CV68" i="1"/>
  <c r="CW68" i="1"/>
  <c r="CX68" i="1"/>
  <c r="W68" i="1" s="1"/>
  <c r="CY68" i="1"/>
  <c r="X68" i="1" s="1"/>
  <c r="AZ150" i="7" s="1"/>
  <c r="CZ68" i="1"/>
  <c r="Y68" i="1" s="1"/>
  <c r="BA150" i="7" s="1"/>
  <c r="FR68" i="1"/>
  <c r="GL68" i="1"/>
  <c r="GN68" i="1"/>
  <c r="GP68" i="1"/>
  <c r="GV68" i="1"/>
  <c r="HC68" i="1"/>
  <c r="GX68" i="1" s="1"/>
  <c r="GM68" i="1" s="1"/>
  <c r="GO68" i="1" s="1"/>
  <c r="C69" i="1"/>
  <c r="D69" i="1"/>
  <c r="P69" i="1"/>
  <c r="Q69" i="1"/>
  <c r="R69" i="1"/>
  <c r="S69" i="1"/>
  <c r="U69" i="1"/>
  <c r="G153" i="7" s="1"/>
  <c r="V69" i="1"/>
  <c r="G156" i="7" s="1"/>
  <c r="AC69" i="1"/>
  <c r="AE69" i="1"/>
  <c r="AD69" i="1" s="1"/>
  <c r="AF69" i="1"/>
  <c r="AG69" i="1"/>
  <c r="AH69" i="1"/>
  <c r="AI69" i="1"/>
  <c r="AJ69" i="1"/>
  <c r="CP69" i="1"/>
  <c r="O69" i="1" s="1"/>
  <c r="CQ69" i="1"/>
  <c r="CR69" i="1"/>
  <c r="CS69" i="1"/>
  <c r="CT69" i="1"/>
  <c r="CU69" i="1"/>
  <c r="T69" i="1" s="1"/>
  <c r="CV69" i="1"/>
  <c r="CW69" i="1"/>
  <c r="CX69" i="1"/>
  <c r="W69" i="1" s="1"/>
  <c r="CY69" i="1"/>
  <c r="X69" i="1" s="1"/>
  <c r="AZ167" i="7" s="1"/>
  <c r="L165" i="7" s="1"/>
  <c r="CZ69" i="1"/>
  <c r="Y69" i="1" s="1"/>
  <c r="BA167" i="7" s="1"/>
  <c r="L166" i="7" s="1"/>
  <c r="FR69" i="1"/>
  <c r="GL69" i="1"/>
  <c r="GN69" i="1"/>
  <c r="GP69" i="1"/>
  <c r="GV69" i="1"/>
  <c r="HC69" i="1"/>
  <c r="GX69" i="1" s="1"/>
  <c r="GM69" i="1" s="1"/>
  <c r="GO69" i="1" s="1"/>
  <c r="C70" i="1"/>
  <c r="D70" i="1"/>
  <c r="P70" i="1"/>
  <c r="Q70" i="1"/>
  <c r="R70" i="1"/>
  <c r="S70" i="1"/>
  <c r="U70" i="1"/>
  <c r="G170" i="7" s="1"/>
  <c r="V70" i="1"/>
  <c r="G173" i="7" s="1"/>
  <c r="AC70" i="1"/>
  <c r="AE70" i="1"/>
  <c r="AD70" i="1" s="1"/>
  <c r="AF70" i="1"/>
  <c r="AG70" i="1"/>
  <c r="AH70" i="1"/>
  <c r="AI70" i="1"/>
  <c r="AJ70" i="1"/>
  <c r="CP70" i="1"/>
  <c r="O70" i="1" s="1"/>
  <c r="CQ70" i="1"/>
  <c r="CR70" i="1"/>
  <c r="CS70" i="1"/>
  <c r="CT70" i="1"/>
  <c r="CU70" i="1"/>
  <c r="T70" i="1" s="1"/>
  <c r="CV70" i="1"/>
  <c r="CW70" i="1"/>
  <c r="CX70" i="1"/>
  <c r="W70" i="1" s="1"/>
  <c r="CY70" i="1"/>
  <c r="X70" i="1" s="1"/>
  <c r="AZ190" i="7" s="1"/>
  <c r="L188" i="7" s="1"/>
  <c r="CZ70" i="1"/>
  <c r="Y70" i="1" s="1"/>
  <c r="BA190" i="7" s="1"/>
  <c r="L189" i="7" s="1"/>
  <c r="FR70" i="1"/>
  <c r="GL70" i="1"/>
  <c r="GN70" i="1"/>
  <c r="GP70" i="1"/>
  <c r="GV70" i="1"/>
  <c r="HC70" i="1"/>
  <c r="GX70" i="1" s="1"/>
  <c r="GM70" i="1" s="1"/>
  <c r="GO70" i="1" s="1"/>
  <c r="C71" i="1"/>
  <c r="D71" i="1"/>
  <c r="I71" i="1"/>
  <c r="K71" i="1"/>
  <c r="AC71" i="1"/>
  <c r="AE71" i="1"/>
  <c r="AD71" i="1" s="1"/>
  <c r="AF71" i="1"/>
  <c r="AG71" i="1"/>
  <c r="AH71" i="1"/>
  <c r="AI71" i="1"/>
  <c r="AJ71" i="1"/>
  <c r="CQ71" i="1"/>
  <c r="CR71" i="1"/>
  <c r="CS71" i="1"/>
  <c r="CT71" i="1"/>
  <c r="CU71" i="1"/>
  <c r="T71" i="1" s="1"/>
  <c r="CV71" i="1"/>
  <c r="CW71" i="1"/>
  <c r="CX71" i="1"/>
  <c r="W71" i="1" s="1"/>
  <c r="FR71" i="1"/>
  <c r="GL71" i="1"/>
  <c r="GN71" i="1"/>
  <c r="GP71" i="1"/>
  <c r="GV71" i="1"/>
  <c r="HC71" i="1"/>
  <c r="GX71" i="1" s="1"/>
  <c r="C72" i="1"/>
  <c r="D72" i="1"/>
  <c r="I72" i="1"/>
  <c r="K72" i="1"/>
  <c r="AC72" i="1"/>
  <c r="AE72" i="1"/>
  <c r="AD72" i="1" s="1"/>
  <c r="AF72" i="1"/>
  <c r="AG72" i="1"/>
  <c r="AH72" i="1"/>
  <c r="AI72" i="1"/>
  <c r="AJ72" i="1"/>
  <c r="CQ72" i="1"/>
  <c r="CR72" i="1"/>
  <c r="CS72" i="1"/>
  <c r="CT72" i="1"/>
  <c r="CU72" i="1"/>
  <c r="T72" i="1" s="1"/>
  <c r="CV72" i="1"/>
  <c r="CW72" i="1"/>
  <c r="CX72" i="1"/>
  <c r="W72" i="1" s="1"/>
  <c r="FR72" i="1"/>
  <c r="GL72" i="1"/>
  <c r="GN72" i="1"/>
  <c r="GP72" i="1"/>
  <c r="GV72" i="1"/>
  <c r="HC72" i="1"/>
  <c r="GX72" i="1" s="1"/>
  <c r="B74" i="1"/>
  <c r="B60" i="1" s="1"/>
  <c r="C74" i="1"/>
  <c r="C60" i="1" s="1"/>
  <c r="D74" i="1"/>
  <c r="D60" i="1" s="1"/>
  <c r="F74" i="1"/>
  <c r="F60" i="1" s="1"/>
  <c r="G74" i="1"/>
  <c r="G60" i="1" s="1"/>
  <c r="AG74" i="1"/>
  <c r="AJ74" i="1"/>
  <c r="BX74" i="1"/>
  <c r="BY74" i="1"/>
  <c r="BZ74" i="1"/>
  <c r="CB74" i="1"/>
  <c r="CD74" i="1"/>
  <c r="CG74" i="1"/>
  <c r="CI74" i="1"/>
  <c r="CJ74" i="1"/>
  <c r="CK74" i="1"/>
  <c r="CL74" i="1"/>
  <c r="CM74" i="1"/>
  <c r="D104" i="1"/>
  <c r="E106" i="1"/>
  <c r="Z106" i="1"/>
  <c r="AA106" i="1"/>
  <c r="AM106" i="1"/>
  <c r="AN106" i="1"/>
  <c r="BE106" i="1"/>
  <c r="BF106" i="1"/>
  <c r="BG106" i="1"/>
  <c r="BH106" i="1"/>
  <c r="BI106" i="1"/>
  <c r="BJ106" i="1"/>
  <c r="BK106" i="1"/>
  <c r="BL106" i="1"/>
  <c r="BM106" i="1"/>
  <c r="BN106" i="1"/>
  <c r="BO106" i="1"/>
  <c r="BP106" i="1"/>
  <c r="BQ106" i="1"/>
  <c r="BR106" i="1"/>
  <c r="BS106" i="1"/>
  <c r="BT106" i="1"/>
  <c r="BU106" i="1"/>
  <c r="BV106" i="1"/>
  <c r="BW106" i="1"/>
  <c r="CN106" i="1"/>
  <c r="CO106" i="1"/>
  <c r="CP106" i="1"/>
  <c r="CQ106" i="1"/>
  <c r="CR106" i="1"/>
  <c r="CS106" i="1"/>
  <c r="CT106" i="1"/>
  <c r="CU106" i="1"/>
  <c r="CV106" i="1"/>
  <c r="CW106" i="1"/>
  <c r="CX106" i="1"/>
  <c r="CY106" i="1"/>
  <c r="CZ106" i="1"/>
  <c r="DA106" i="1"/>
  <c r="DB106" i="1"/>
  <c r="DC106" i="1"/>
  <c r="DD106" i="1"/>
  <c r="DE106" i="1"/>
  <c r="DF106" i="1"/>
  <c r="DG106" i="1"/>
  <c r="DH106" i="1"/>
  <c r="DI106" i="1"/>
  <c r="DJ106" i="1"/>
  <c r="DK106" i="1"/>
  <c r="DL106" i="1"/>
  <c r="DM106" i="1"/>
  <c r="DN106" i="1"/>
  <c r="DO106" i="1"/>
  <c r="DP106" i="1"/>
  <c r="DQ106" i="1"/>
  <c r="DR106" i="1"/>
  <c r="DS106" i="1"/>
  <c r="DT106" i="1"/>
  <c r="DU106" i="1"/>
  <c r="DV106" i="1"/>
  <c r="DW106" i="1"/>
  <c r="DX106" i="1"/>
  <c r="DY106" i="1"/>
  <c r="DZ106" i="1"/>
  <c r="EA106" i="1"/>
  <c r="EB106" i="1"/>
  <c r="EC106" i="1"/>
  <c r="ED106" i="1"/>
  <c r="EE106" i="1"/>
  <c r="EF106" i="1"/>
  <c r="EG106" i="1"/>
  <c r="EH106" i="1"/>
  <c r="EI106" i="1"/>
  <c r="EJ106" i="1"/>
  <c r="EK106" i="1"/>
  <c r="EL106" i="1"/>
  <c r="EM106" i="1"/>
  <c r="EN106" i="1"/>
  <c r="EO106" i="1"/>
  <c r="EP106" i="1"/>
  <c r="EQ106" i="1"/>
  <c r="ER106" i="1"/>
  <c r="ES106" i="1"/>
  <c r="ET106" i="1"/>
  <c r="EU106" i="1"/>
  <c r="EV106" i="1"/>
  <c r="EW106" i="1"/>
  <c r="EX106" i="1"/>
  <c r="EY106" i="1"/>
  <c r="EZ106" i="1"/>
  <c r="FA106" i="1"/>
  <c r="FB106" i="1"/>
  <c r="FC106" i="1"/>
  <c r="FD106" i="1"/>
  <c r="FE106" i="1"/>
  <c r="FF106" i="1"/>
  <c r="FG106" i="1"/>
  <c r="FH106" i="1"/>
  <c r="FI106" i="1"/>
  <c r="FJ106" i="1"/>
  <c r="FK106" i="1"/>
  <c r="FL106" i="1"/>
  <c r="FM106" i="1"/>
  <c r="FN106" i="1"/>
  <c r="FO106" i="1"/>
  <c r="FP106" i="1"/>
  <c r="FQ106" i="1"/>
  <c r="FR106" i="1"/>
  <c r="FS106" i="1"/>
  <c r="FT106" i="1"/>
  <c r="FU106" i="1"/>
  <c r="FV106" i="1"/>
  <c r="FW106" i="1"/>
  <c r="FX106" i="1"/>
  <c r="FY106" i="1"/>
  <c r="FZ106" i="1"/>
  <c r="GA106" i="1"/>
  <c r="GB106" i="1"/>
  <c r="GC106" i="1"/>
  <c r="GD106" i="1"/>
  <c r="GE106" i="1"/>
  <c r="GF106" i="1"/>
  <c r="GG106" i="1"/>
  <c r="GH106" i="1"/>
  <c r="GI106" i="1"/>
  <c r="GJ106" i="1"/>
  <c r="GK106" i="1"/>
  <c r="GL106" i="1"/>
  <c r="GM106" i="1"/>
  <c r="GN106" i="1"/>
  <c r="GO106" i="1"/>
  <c r="GP106" i="1"/>
  <c r="GQ106" i="1"/>
  <c r="GR106" i="1"/>
  <c r="GS106" i="1"/>
  <c r="GT106" i="1"/>
  <c r="GU106" i="1"/>
  <c r="GV106" i="1"/>
  <c r="GW106" i="1"/>
  <c r="GX106" i="1"/>
  <c r="C108" i="1"/>
  <c r="D108" i="1"/>
  <c r="P108" i="1"/>
  <c r="Q108" i="1"/>
  <c r="R108" i="1"/>
  <c r="S108" i="1"/>
  <c r="U108" i="1"/>
  <c r="G266" i="7" s="1"/>
  <c r="V108" i="1"/>
  <c r="G269" i="7" s="1"/>
  <c r="AC108" i="1"/>
  <c r="AE108" i="1"/>
  <c r="AD108" i="1" s="1"/>
  <c r="AF108" i="1"/>
  <c r="AG108" i="1"/>
  <c r="AH108" i="1"/>
  <c r="AI108" i="1"/>
  <c r="AJ108" i="1"/>
  <c r="CP108" i="1"/>
  <c r="O108" i="1" s="1"/>
  <c r="CQ108" i="1"/>
  <c r="CR108" i="1"/>
  <c r="CS108" i="1"/>
  <c r="CT108" i="1"/>
  <c r="CU108" i="1"/>
  <c r="T108" i="1" s="1"/>
  <c r="CV108" i="1"/>
  <c r="CW108" i="1"/>
  <c r="CX108" i="1"/>
  <c r="W108" i="1" s="1"/>
  <c r="CY108" i="1"/>
  <c r="X108" i="1" s="1"/>
  <c r="AZ279" i="7" s="1"/>
  <c r="CZ108" i="1"/>
  <c r="Y108" i="1" s="1"/>
  <c r="BA279" i="7" s="1"/>
  <c r="FR108" i="1"/>
  <c r="GL108" i="1"/>
  <c r="GO108" i="1"/>
  <c r="GP108" i="1"/>
  <c r="GV108" i="1"/>
  <c r="HC108" i="1"/>
  <c r="GX108" i="1" s="1"/>
  <c r="GM108" i="1" s="1"/>
  <c r="GN108" i="1" s="1"/>
  <c r="C109" i="1"/>
  <c r="D109" i="1"/>
  <c r="P109" i="1"/>
  <c r="Q109" i="1"/>
  <c r="R109" i="1"/>
  <c r="S109" i="1"/>
  <c r="U109" i="1"/>
  <c r="G281" i="7" s="1"/>
  <c r="V109" i="1"/>
  <c r="G284" i="7" s="1"/>
  <c r="AC109" i="1"/>
  <c r="AE109" i="1"/>
  <c r="AD109" i="1" s="1"/>
  <c r="AF109" i="1"/>
  <c r="AG109" i="1"/>
  <c r="AH109" i="1"/>
  <c r="AI109" i="1"/>
  <c r="AJ109" i="1"/>
  <c r="CP109" i="1"/>
  <c r="O109" i="1" s="1"/>
  <c r="CQ109" i="1"/>
  <c r="CR109" i="1"/>
  <c r="CS109" i="1"/>
  <c r="CT109" i="1"/>
  <c r="CU109" i="1"/>
  <c r="T109" i="1" s="1"/>
  <c r="CV109" i="1"/>
  <c r="CW109" i="1"/>
  <c r="CX109" i="1"/>
  <c r="W109" i="1" s="1"/>
  <c r="CY109" i="1"/>
  <c r="X109" i="1" s="1"/>
  <c r="AZ292" i="7" s="1"/>
  <c r="L290" i="7" s="1"/>
  <c r="CZ109" i="1"/>
  <c r="Y109" i="1" s="1"/>
  <c r="BA292" i="7" s="1"/>
  <c r="L291" i="7" s="1"/>
  <c r="FR109" i="1"/>
  <c r="GL109" i="1"/>
  <c r="GO109" i="1"/>
  <c r="GP109" i="1"/>
  <c r="GV109" i="1"/>
  <c r="HC109" i="1"/>
  <c r="GX109" i="1" s="1"/>
  <c r="GM109" i="1" s="1"/>
  <c r="GN109" i="1" s="1"/>
  <c r="C110" i="1"/>
  <c r="D110" i="1"/>
  <c r="P110" i="1"/>
  <c r="Q110" i="1"/>
  <c r="R110" i="1"/>
  <c r="S110" i="1"/>
  <c r="U110" i="1"/>
  <c r="G294" i="7" s="1"/>
  <c r="V110" i="1"/>
  <c r="G297" i="7" s="1"/>
  <c r="AC110" i="1"/>
  <c r="AE110" i="1"/>
  <c r="AD110" i="1" s="1"/>
  <c r="AF110" i="1"/>
  <c r="AG110" i="1"/>
  <c r="AH110" i="1"/>
  <c r="AI110" i="1"/>
  <c r="AJ110" i="1"/>
  <c r="CP110" i="1"/>
  <c r="O110" i="1" s="1"/>
  <c r="CQ110" i="1"/>
  <c r="CR110" i="1"/>
  <c r="CS110" i="1"/>
  <c r="CT110" i="1"/>
  <c r="CU110" i="1"/>
  <c r="T110" i="1" s="1"/>
  <c r="CV110" i="1"/>
  <c r="CW110" i="1"/>
  <c r="CX110" i="1"/>
  <c r="W110" i="1" s="1"/>
  <c r="CY110" i="1"/>
  <c r="X110" i="1" s="1"/>
  <c r="AZ314" i="7" s="1"/>
  <c r="L312" i="7" s="1"/>
  <c r="CZ110" i="1"/>
  <c r="Y110" i="1" s="1"/>
  <c r="BA314" i="7" s="1"/>
  <c r="L313" i="7" s="1"/>
  <c r="FR110" i="1"/>
  <c r="GL110" i="1"/>
  <c r="GO110" i="1"/>
  <c r="GP110" i="1"/>
  <c r="GV110" i="1"/>
  <c r="HC110" i="1"/>
  <c r="GX110" i="1" s="1"/>
  <c r="GM110" i="1" s="1"/>
  <c r="GN110" i="1" s="1"/>
  <c r="C111" i="1"/>
  <c r="D111" i="1"/>
  <c r="P111" i="1"/>
  <c r="Q111" i="1"/>
  <c r="R111" i="1"/>
  <c r="S111" i="1"/>
  <c r="U111" i="1"/>
  <c r="G316" i="7" s="1"/>
  <c r="V111" i="1"/>
  <c r="G319" i="7" s="1"/>
  <c r="AC111" i="1"/>
  <c r="AE111" i="1"/>
  <c r="AD111" i="1" s="1"/>
  <c r="AF111" i="1"/>
  <c r="AG111" i="1"/>
  <c r="AH111" i="1"/>
  <c r="AI111" i="1"/>
  <c r="AJ111" i="1"/>
  <c r="CP111" i="1"/>
  <c r="O111" i="1" s="1"/>
  <c r="CQ111" i="1"/>
  <c r="CR111" i="1"/>
  <c r="CS111" i="1"/>
  <c r="CT111" i="1"/>
  <c r="CU111" i="1"/>
  <c r="T111" i="1" s="1"/>
  <c r="CV111" i="1"/>
  <c r="CW111" i="1"/>
  <c r="CX111" i="1"/>
  <c r="W111" i="1" s="1"/>
  <c r="CY111" i="1"/>
  <c r="X111" i="1" s="1"/>
  <c r="AZ336" i="7" s="1"/>
  <c r="L334" i="7" s="1"/>
  <c r="CZ111" i="1"/>
  <c r="Y111" i="1" s="1"/>
  <c r="BA336" i="7" s="1"/>
  <c r="L335" i="7" s="1"/>
  <c r="FR111" i="1"/>
  <c r="GL111" i="1"/>
  <c r="GO111" i="1"/>
  <c r="GP111" i="1"/>
  <c r="GV111" i="1"/>
  <c r="HC111" i="1"/>
  <c r="GX111" i="1" s="1"/>
  <c r="GM111" i="1" s="1"/>
  <c r="GN111" i="1" s="1"/>
  <c r="C112" i="1"/>
  <c r="D112" i="1"/>
  <c r="P112" i="1"/>
  <c r="Q112" i="1"/>
  <c r="R112" i="1"/>
  <c r="S112" i="1"/>
  <c r="U112" i="1"/>
  <c r="G338" i="7" s="1"/>
  <c r="V112" i="1"/>
  <c r="G341" i="7" s="1"/>
  <c r="AC112" i="1"/>
  <c r="AE112" i="1"/>
  <c r="AD112" i="1" s="1"/>
  <c r="AF112" i="1"/>
  <c r="AG112" i="1"/>
  <c r="AH112" i="1"/>
  <c r="AI112" i="1"/>
  <c r="AJ112" i="1"/>
  <c r="CP112" i="1"/>
  <c r="O112" i="1" s="1"/>
  <c r="CQ112" i="1"/>
  <c r="CR112" i="1"/>
  <c r="CS112" i="1"/>
  <c r="CT112" i="1"/>
  <c r="CU112" i="1"/>
  <c r="T112" i="1" s="1"/>
  <c r="CV112" i="1"/>
  <c r="CW112" i="1"/>
  <c r="CX112" i="1"/>
  <c r="W112" i="1" s="1"/>
  <c r="CY112" i="1"/>
  <c r="X112" i="1" s="1"/>
  <c r="AZ349" i="7" s="1"/>
  <c r="L347" i="7" s="1"/>
  <c r="CZ112" i="1"/>
  <c r="Y112" i="1" s="1"/>
  <c r="BA349" i="7" s="1"/>
  <c r="L348" i="7" s="1"/>
  <c r="FR112" i="1"/>
  <c r="GL112" i="1"/>
  <c r="GN112" i="1"/>
  <c r="GP112" i="1"/>
  <c r="GV112" i="1"/>
  <c r="HC112" i="1"/>
  <c r="GX112" i="1" s="1"/>
  <c r="GM112" i="1" s="1"/>
  <c r="GO112" i="1" s="1"/>
  <c r="C113" i="1"/>
  <c r="D113" i="1"/>
  <c r="I113" i="1"/>
  <c r="K113" i="1"/>
  <c r="AC113" i="1"/>
  <c r="AE113" i="1"/>
  <c r="AD113" i="1" s="1"/>
  <c r="AF113" i="1"/>
  <c r="AG113" i="1"/>
  <c r="AH113" i="1"/>
  <c r="AI113" i="1"/>
  <c r="AJ113" i="1"/>
  <c r="CQ113" i="1"/>
  <c r="CR113" i="1"/>
  <c r="CS113" i="1"/>
  <c r="CT113" i="1"/>
  <c r="CU113" i="1"/>
  <c r="T113" i="1" s="1"/>
  <c r="CV113" i="1"/>
  <c r="CW113" i="1"/>
  <c r="CX113" i="1"/>
  <c r="W113" i="1" s="1"/>
  <c r="FR113" i="1"/>
  <c r="GL113" i="1"/>
  <c r="GO113" i="1"/>
  <c r="GP113" i="1"/>
  <c r="GV113" i="1"/>
  <c r="HC113" i="1"/>
  <c r="GX113" i="1" s="1"/>
  <c r="C114" i="1"/>
  <c r="D114" i="1"/>
  <c r="I114" i="1"/>
  <c r="K114" i="1"/>
  <c r="AC114" i="1"/>
  <c r="AE114" i="1"/>
  <c r="AD114" i="1" s="1"/>
  <c r="AF114" i="1"/>
  <c r="AG114" i="1"/>
  <c r="AH114" i="1"/>
  <c r="AI114" i="1"/>
  <c r="AJ114" i="1"/>
  <c r="CQ114" i="1"/>
  <c r="CR114" i="1"/>
  <c r="CS114" i="1"/>
  <c r="CT114" i="1"/>
  <c r="CU114" i="1"/>
  <c r="T114" i="1" s="1"/>
  <c r="CV114" i="1"/>
  <c r="CW114" i="1"/>
  <c r="CX114" i="1"/>
  <c r="W114" i="1" s="1"/>
  <c r="FR114" i="1"/>
  <c r="GL114" i="1"/>
  <c r="GN114" i="1"/>
  <c r="GP114" i="1"/>
  <c r="GV114" i="1"/>
  <c r="HC114" i="1"/>
  <c r="GX114" i="1" s="1"/>
  <c r="C115" i="1"/>
  <c r="D115" i="1"/>
  <c r="P115" i="1"/>
  <c r="Q115" i="1"/>
  <c r="R115" i="1"/>
  <c r="S115" i="1"/>
  <c r="U115" i="1"/>
  <c r="G395" i="7" s="1"/>
  <c r="V115" i="1"/>
  <c r="G398" i="7" s="1"/>
  <c r="AC115" i="1"/>
  <c r="AE115" i="1"/>
  <c r="AD115" i="1" s="1"/>
  <c r="AF115" i="1"/>
  <c r="AG115" i="1"/>
  <c r="AH115" i="1"/>
  <c r="AI115" i="1"/>
  <c r="AJ115" i="1"/>
  <c r="CP115" i="1"/>
  <c r="O115" i="1" s="1"/>
  <c r="CQ115" i="1"/>
  <c r="CR115" i="1"/>
  <c r="CS115" i="1"/>
  <c r="CT115" i="1"/>
  <c r="CU115" i="1"/>
  <c r="T115" i="1" s="1"/>
  <c r="CV115" i="1"/>
  <c r="CW115" i="1"/>
  <c r="CX115" i="1"/>
  <c r="W115" i="1" s="1"/>
  <c r="CY115" i="1"/>
  <c r="X115" i="1" s="1"/>
  <c r="AZ410" i="7" s="1"/>
  <c r="L408" i="7" s="1"/>
  <c r="CZ115" i="1"/>
  <c r="Y115" i="1" s="1"/>
  <c r="BA410" i="7" s="1"/>
  <c r="L409" i="7" s="1"/>
  <c r="FR115" i="1"/>
  <c r="GL115" i="1"/>
  <c r="GO115" i="1"/>
  <c r="GP115" i="1"/>
  <c r="GV115" i="1"/>
  <c r="HC115" i="1"/>
  <c r="GX115" i="1" s="1"/>
  <c r="GM115" i="1" s="1"/>
  <c r="GN115" i="1" s="1"/>
  <c r="C116" i="1"/>
  <c r="D116" i="1"/>
  <c r="P116" i="1"/>
  <c r="Q116" i="1"/>
  <c r="R116" i="1"/>
  <c r="S116" i="1"/>
  <c r="U116" i="1"/>
  <c r="G412" i="7" s="1"/>
  <c r="V116" i="1"/>
  <c r="G415" i="7" s="1"/>
  <c r="AC116" i="1"/>
  <c r="AE116" i="1"/>
  <c r="AD116" i="1" s="1"/>
  <c r="AF116" i="1"/>
  <c r="AG116" i="1"/>
  <c r="AH116" i="1"/>
  <c r="AI116" i="1"/>
  <c r="AJ116" i="1"/>
  <c r="CP116" i="1"/>
  <c r="O116" i="1" s="1"/>
  <c r="CQ116" i="1"/>
  <c r="CR116" i="1"/>
  <c r="CS116" i="1"/>
  <c r="CT116" i="1"/>
  <c r="CU116" i="1"/>
  <c r="T116" i="1" s="1"/>
  <c r="CV116" i="1"/>
  <c r="CW116" i="1"/>
  <c r="CX116" i="1"/>
  <c r="W116" i="1" s="1"/>
  <c r="CY116" i="1"/>
  <c r="X116" i="1" s="1"/>
  <c r="AZ432" i="7" s="1"/>
  <c r="L430" i="7" s="1"/>
  <c r="CZ116" i="1"/>
  <c r="Y116" i="1" s="1"/>
  <c r="BA432" i="7" s="1"/>
  <c r="L431" i="7" s="1"/>
  <c r="FR116" i="1"/>
  <c r="GL116" i="1"/>
  <c r="GN116" i="1"/>
  <c r="GP116" i="1"/>
  <c r="GV116" i="1"/>
  <c r="HC116" i="1"/>
  <c r="GX116" i="1" s="1"/>
  <c r="GM116" i="1" s="1"/>
  <c r="GO116" i="1" s="1"/>
  <c r="C117" i="1"/>
  <c r="D117" i="1"/>
  <c r="I117" i="1"/>
  <c r="K117" i="1"/>
  <c r="AC117" i="1"/>
  <c r="AE117" i="1"/>
  <c r="AD117" i="1" s="1"/>
  <c r="AF117" i="1"/>
  <c r="AG117" i="1"/>
  <c r="AH117" i="1"/>
  <c r="AI117" i="1"/>
  <c r="AJ117" i="1"/>
  <c r="CQ117" i="1"/>
  <c r="CR117" i="1"/>
  <c r="CS117" i="1"/>
  <c r="CT117" i="1"/>
  <c r="CU117" i="1"/>
  <c r="T117" i="1" s="1"/>
  <c r="CV117" i="1"/>
  <c r="CW117" i="1"/>
  <c r="CX117" i="1"/>
  <c r="W117" i="1" s="1"/>
  <c r="FR117" i="1"/>
  <c r="GL117" i="1"/>
  <c r="GN117" i="1"/>
  <c r="GP117" i="1"/>
  <c r="GV117" i="1"/>
  <c r="HC117" i="1"/>
  <c r="GX117" i="1" s="1"/>
  <c r="C118" i="1"/>
  <c r="D118" i="1"/>
  <c r="I118" i="1"/>
  <c r="K118" i="1"/>
  <c r="AC118" i="1"/>
  <c r="AE118" i="1"/>
  <c r="AD118" i="1" s="1"/>
  <c r="AF118" i="1"/>
  <c r="AG118" i="1"/>
  <c r="AH118" i="1"/>
  <c r="AI118" i="1"/>
  <c r="AJ118" i="1"/>
  <c r="CQ118" i="1"/>
  <c r="CR118" i="1"/>
  <c r="CS118" i="1"/>
  <c r="CT118" i="1"/>
  <c r="CU118" i="1"/>
  <c r="T118" i="1" s="1"/>
  <c r="CV118" i="1"/>
  <c r="CW118" i="1"/>
  <c r="CX118" i="1"/>
  <c r="W118" i="1" s="1"/>
  <c r="FR118" i="1"/>
  <c r="GL118" i="1"/>
  <c r="GN118" i="1"/>
  <c r="GP118" i="1"/>
  <c r="GV118" i="1"/>
  <c r="HC118" i="1"/>
  <c r="GX118" i="1" s="1"/>
  <c r="B120" i="1"/>
  <c r="B106" i="1" s="1"/>
  <c r="C120" i="1"/>
  <c r="C106" i="1" s="1"/>
  <c r="D120" i="1"/>
  <c r="D106" i="1" s="1"/>
  <c r="F120" i="1"/>
  <c r="F106" i="1" s="1"/>
  <c r="G120" i="1"/>
  <c r="G106" i="1" s="1"/>
  <c r="AG120" i="1"/>
  <c r="AJ120" i="1"/>
  <c r="BX120" i="1"/>
  <c r="BY120" i="1"/>
  <c r="BZ120" i="1"/>
  <c r="CD120" i="1"/>
  <c r="CG120" i="1"/>
  <c r="CI120" i="1"/>
  <c r="CJ120" i="1"/>
  <c r="CK120" i="1"/>
  <c r="CL120" i="1"/>
  <c r="CM120" i="1"/>
  <c r="D150" i="1"/>
  <c r="E152" i="1"/>
  <c r="Z152" i="1"/>
  <c r="AA152" i="1"/>
  <c r="AM152" i="1"/>
  <c r="AN152" i="1"/>
  <c r="BE152" i="1"/>
  <c r="BF152" i="1"/>
  <c r="BG152" i="1"/>
  <c r="BH152" i="1"/>
  <c r="BI152" i="1"/>
  <c r="BJ152" i="1"/>
  <c r="BK152" i="1"/>
  <c r="BL152" i="1"/>
  <c r="BM152" i="1"/>
  <c r="BN152" i="1"/>
  <c r="BO152" i="1"/>
  <c r="BP152" i="1"/>
  <c r="BQ152" i="1"/>
  <c r="BR152" i="1"/>
  <c r="BS152" i="1"/>
  <c r="BT152" i="1"/>
  <c r="BU152" i="1"/>
  <c r="BV152" i="1"/>
  <c r="BW152" i="1"/>
  <c r="CN152" i="1"/>
  <c r="CO152" i="1"/>
  <c r="CP152" i="1"/>
  <c r="CQ152" i="1"/>
  <c r="CR152" i="1"/>
  <c r="CS152" i="1"/>
  <c r="CT152" i="1"/>
  <c r="CU152" i="1"/>
  <c r="CV152" i="1"/>
  <c r="CW152" i="1"/>
  <c r="CX152" i="1"/>
  <c r="CY152" i="1"/>
  <c r="CZ152" i="1"/>
  <c r="DA152" i="1"/>
  <c r="DB152" i="1"/>
  <c r="DC152" i="1"/>
  <c r="DD152" i="1"/>
  <c r="DE152" i="1"/>
  <c r="DF152" i="1"/>
  <c r="DG152" i="1"/>
  <c r="DH152" i="1"/>
  <c r="DI152" i="1"/>
  <c r="DJ152" i="1"/>
  <c r="DK152" i="1"/>
  <c r="DL152" i="1"/>
  <c r="DM152" i="1"/>
  <c r="DN152" i="1"/>
  <c r="DO152" i="1"/>
  <c r="DP152" i="1"/>
  <c r="DQ152" i="1"/>
  <c r="DR152" i="1"/>
  <c r="DS152" i="1"/>
  <c r="DT152" i="1"/>
  <c r="DU152" i="1"/>
  <c r="DV152" i="1"/>
  <c r="DW152" i="1"/>
  <c r="DX152" i="1"/>
  <c r="DY152" i="1"/>
  <c r="DZ152" i="1"/>
  <c r="EA152" i="1"/>
  <c r="EB152" i="1"/>
  <c r="EC152" i="1"/>
  <c r="ED152" i="1"/>
  <c r="EE152" i="1"/>
  <c r="EF152" i="1"/>
  <c r="EG152" i="1"/>
  <c r="EH152" i="1"/>
  <c r="EI152" i="1"/>
  <c r="EJ152" i="1"/>
  <c r="EK152" i="1"/>
  <c r="EL152" i="1"/>
  <c r="EM152" i="1"/>
  <c r="EN152" i="1"/>
  <c r="EO152" i="1"/>
  <c r="EP152" i="1"/>
  <c r="EQ152" i="1"/>
  <c r="ER152" i="1"/>
  <c r="ES152" i="1"/>
  <c r="ET152" i="1"/>
  <c r="EU152" i="1"/>
  <c r="EV152" i="1"/>
  <c r="EW152" i="1"/>
  <c r="EX152" i="1"/>
  <c r="EY152" i="1"/>
  <c r="EZ152" i="1"/>
  <c r="FA152" i="1"/>
  <c r="FB152" i="1"/>
  <c r="FC152" i="1"/>
  <c r="FD152" i="1"/>
  <c r="FE152" i="1"/>
  <c r="FF152" i="1"/>
  <c r="FG152" i="1"/>
  <c r="FH152" i="1"/>
  <c r="FI152" i="1"/>
  <c r="FJ152" i="1"/>
  <c r="FK152" i="1"/>
  <c r="FL152" i="1"/>
  <c r="FM152" i="1"/>
  <c r="FN152" i="1"/>
  <c r="FO152" i="1"/>
  <c r="FP152" i="1"/>
  <c r="FQ152" i="1"/>
  <c r="FR152" i="1"/>
  <c r="FS152" i="1"/>
  <c r="FT152" i="1"/>
  <c r="FU152" i="1"/>
  <c r="FV152" i="1"/>
  <c r="FW152" i="1"/>
  <c r="FX152" i="1"/>
  <c r="FY152" i="1"/>
  <c r="FZ152" i="1"/>
  <c r="GA152" i="1"/>
  <c r="GB152" i="1"/>
  <c r="GC152" i="1"/>
  <c r="GD152" i="1"/>
  <c r="GE152" i="1"/>
  <c r="GF152" i="1"/>
  <c r="GG152" i="1"/>
  <c r="GH152" i="1"/>
  <c r="GI152" i="1"/>
  <c r="GJ152" i="1"/>
  <c r="GK152" i="1"/>
  <c r="GL152" i="1"/>
  <c r="GM152" i="1"/>
  <c r="GN152" i="1"/>
  <c r="GO152" i="1"/>
  <c r="GP152" i="1"/>
  <c r="GQ152" i="1"/>
  <c r="GR152" i="1"/>
  <c r="GS152" i="1"/>
  <c r="GT152" i="1"/>
  <c r="GU152" i="1"/>
  <c r="GV152" i="1"/>
  <c r="GW152" i="1"/>
  <c r="GX152" i="1"/>
  <c r="AC154" i="1"/>
  <c r="AE154" i="1"/>
  <c r="AD154" i="1" s="1"/>
  <c r="AF154" i="1"/>
  <c r="AG154" i="1"/>
  <c r="AH154" i="1"/>
  <c r="AI154" i="1"/>
  <c r="AJ154" i="1"/>
  <c r="CQ154" i="1"/>
  <c r="P154" i="1" s="1"/>
  <c r="CR154" i="1"/>
  <c r="Q154" i="1" s="1"/>
  <c r="CS154" i="1"/>
  <c r="R154" i="1" s="1"/>
  <c r="CT154" i="1"/>
  <c r="S154" i="1" s="1"/>
  <c r="CU154" i="1"/>
  <c r="T154" i="1" s="1"/>
  <c r="CV154" i="1"/>
  <c r="U154" i="1" s="1"/>
  <c r="CW154" i="1"/>
  <c r="V154" i="1" s="1"/>
  <c r="CX154" i="1"/>
  <c r="W154" i="1" s="1"/>
  <c r="CY154" i="1"/>
  <c r="X154" i="1" s="1"/>
  <c r="CZ154" i="1"/>
  <c r="Y154" i="1" s="1"/>
  <c r="FR154" i="1"/>
  <c r="GL154" i="1"/>
  <c r="GO154" i="1"/>
  <c r="GP154" i="1"/>
  <c r="GV154" i="1"/>
  <c r="HC154" i="1"/>
  <c r="GX154" i="1" s="1"/>
  <c r="I155" i="1"/>
  <c r="K155" i="1"/>
  <c r="AC155" i="1"/>
  <c r="AE155" i="1"/>
  <c r="AD155" i="1" s="1"/>
  <c r="AF155" i="1"/>
  <c r="AG155" i="1"/>
  <c r="AH155" i="1"/>
  <c r="AI155" i="1"/>
  <c r="AJ155" i="1"/>
  <c r="CQ155" i="1"/>
  <c r="P155" i="1" s="1"/>
  <c r="CR155" i="1"/>
  <c r="Q155" i="1" s="1"/>
  <c r="CS155" i="1"/>
  <c r="R155" i="1" s="1"/>
  <c r="CT155" i="1"/>
  <c r="S155" i="1" s="1"/>
  <c r="CU155" i="1"/>
  <c r="T155" i="1" s="1"/>
  <c r="CV155" i="1"/>
  <c r="U155" i="1" s="1"/>
  <c r="CW155" i="1"/>
  <c r="V155" i="1" s="1"/>
  <c r="CX155" i="1"/>
  <c r="W155" i="1" s="1"/>
  <c r="CY155" i="1"/>
  <c r="X155" i="1" s="1"/>
  <c r="CZ155" i="1"/>
  <c r="Y155" i="1" s="1"/>
  <c r="FR155" i="1"/>
  <c r="GL155" i="1"/>
  <c r="GN155" i="1"/>
  <c r="GP155" i="1"/>
  <c r="GV155" i="1"/>
  <c r="HC155" i="1"/>
  <c r="GX155" i="1" s="1"/>
  <c r="I156" i="1"/>
  <c r="K156" i="1"/>
  <c r="AC156" i="1"/>
  <c r="AE156" i="1"/>
  <c r="AD156" i="1" s="1"/>
  <c r="AF156" i="1"/>
  <c r="AG156" i="1"/>
  <c r="AH156" i="1"/>
  <c r="AI156" i="1"/>
  <c r="AJ156" i="1"/>
  <c r="CQ156" i="1"/>
  <c r="P156" i="1" s="1"/>
  <c r="CR156" i="1"/>
  <c r="Q156" i="1" s="1"/>
  <c r="CS156" i="1"/>
  <c r="R156" i="1" s="1"/>
  <c r="CT156" i="1"/>
  <c r="S156" i="1" s="1"/>
  <c r="CU156" i="1"/>
  <c r="T156" i="1" s="1"/>
  <c r="CV156" i="1"/>
  <c r="U156" i="1" s="1"/>
  <c r="CW156" i="1"/>
  <c r="V156" i="1" s="1"/>
  <c r="CX156" i="1"/>
  <c r="W156" i="1" s="1"/>
  <c r="CY156" i="1"/>
  <c r="X156" i="1" s="1"/>
  <c r="CZ156" i="1"/>
  <c r="Y156" i="1" s="1"/>
  <c r="FR156" i="1"/>
  <c r="GL156" i="1"/>
  <c r="GN156" i="1"/>
  <c r="GP156" i="1"/>
  <c r="GV156" i="1"/>
  <c r="HC156" i="1"/>
  <c r="GX156" i="1" s="1"/>
  <c r="I157" i="1"/>
  <c r="K157" i="1"/>
  <c r="AC157" i="1"/>
  <c r="AE157" i="1"/>
  <c r="AD157" i="1" s="1"/>
  <c r="AF157" i="1"/>
  <c r="AG157" i="1"/>
  <c r="AH157" i="1"/>
  <c r="AI157" i="1"/>
  <c r="AJ157" i="1"/>
  <c r="CQ157" i="1"/>
  <c r="P157" i="1" s="1"/>
  <c r="CR157" i="1"/>
  <c r="Q157" i="1" s="1"/>
  <c r="CS157" i="1"/>
  <c r="R157" i="1" s="1"/>
  <c r="CT157" i="1"/>
  <c r="S157" i="1" s="1"/>
  <c r="CU157" i="1"/>
  <c r="T157" i="1" s="1"/>
  <c r="CV157" i="1"/>
  <c r="U157" i="1" s="1"/>
  <c r="CW157" i="1"/>
  <c r="V157" i="1" s="1"/>
  <c r="CX157" i="1"/>
  <c r="W157" i="1" s="1"/>
  <c r="CY157" i="1"/>
  <c r="X157" i="1" s="1"/>
  <c r="CZ157" i="1"/>
  <c r="Y157" i="1" s="1"/>
  <c r="FR157" i="1"/>
  <c r="GL157" i="1"/>
  <c r="GN157" i="1"/>
  <c r="GP157" i="1"/>
  <c r="GV157" i="1"/>
  <c r="HC157" i="1"/>
  <c r="GX157" i="1" s="1"/>
  <c r="I158" i="1"/>
  <c r="K158" i="1"/>
  <c r="AC158" i="1"/>
  <c r="AE158" i="1"/>
  <c r="AD158" i="1" s="1"/>
  <c r="AF158" i="1"/>
  <c r="AG158" i="1"/>
  <c r="AH158" i="1"/>
  <c r="AI158" i="1"/>
  <c r="AJ158" i="1"/>
  <c r="CQ158" i="1"/>
  <c r="P158" i="1" s="1"/>
  <c r="CR158" i="1"/>
  <c r="Q158" i="1" s="1"/>
  <c r="CS158" i="1"/>
  <c r="R158" i="1" s="1"/>
  <c r="CT158" i="1"/>
  <c r="S158" i="1" s="1"/>
  <c r="CU158" i="1"/>
  <c r="T158" i="1" s="1"/>
  <c r="CV158" i="1"/>
  <c r="U158" i="1" s="1"/>
  <c r="CW158" i="1"/>
  <c r="V158" i="1" s="1"/>
  <c r="CX158" i="1"/>
  <c r="W158" i="1" s="1"/>
  <c r="CY158" i="1"/>
  <c r="X158" i="1" s="1"/>
  <c r="CZ158" i="1"/>
  <c r="Y158" i="1" s="1"/>
  <c r="FR158" i="1"/>
  <c r="GL158" i="1"/>
  <c r="GN158" i="1"/>
  <c r="GP158" i="1"/>
  <c r="GV158" i="1"/>
  <c r="HC158" i="1"/>
  <c r="GX158" i="1" s="1"/>
  <c r="AC159" i="1"/>
  <c r="AE159" i="1"/>
  <c r="AD159" i="1" s="1"/>
  <c r="AF159" i="1"/>
  <c r="AG159" i="1"/>
  <c r="AH159" i="1"/>
  <c r="AI159" i="1"/>
  <c r="AJ159" i="1"/>
  <c r="CQ159" i="1"/>
  <c r="P159" i="1" s="1"/>
  <c r="CR159" i="1"/>
  <c r="Q159" i="1" s="1"/>
  <c r="CS159" i="1"/>
  <c r="R159" i="1" s="1"/>
  <c r="CT159" i="1"/>
  <c r="S159" i="1" s="1"/>
  <c r="CU159" i="1"/>
  <c r="T159" i="1" s="1"/>
  <c r="CV159" i="1"/>
  <c r="U159" i="1" s="1"/>
  <c r="CW159" i="1"/>
  <c r="V159" i="1" s="1"/>
  <c r="CX159" i="1"/>
  <c r="W159" i="1" s="1"/>
  <c r="CY159" i="1"/>
  <c r="X159" i="1" s="1"/>
  <c r="CZ159" i="1"/>
  <c r="Y159" i="1" s="1"/>
  <c r="FR159" i="1"/>
  <c r="GL159" i="1"/>
  <c r="GN159" i="1"/>
  <c r="GP159" i="1"/>
  <c r="GV159" i="1"/>
  <c r="HC159" i="1"/>
  <c r="GX159" i="1" s="1"/>
  <c r="I160" i="1"/>
  <c r="K160" i="1"/>
  <c r="AC160" i="1"/>
  <c r="AE160" i="1"/>
  <c r="AD160" i="1" s="1"/>
  <c r="AF160" i="1"/>
  <c r="AG160" i="1"/>
  <c r="AH160" i="1"/>
  <c r="AI160" i="1"/>
  <c r="AJ160" i="1"/>
  <c r="CQ160" i="1"/>
  <c r="P160" i="1" s="1"/>
  <c r="CR160" i="1"/>
  <c r="Q160" i="1" s="1"/>
  <c r="CS160" i="1"/>
  <c r="R160" i="1" s="1"/>
  <c r="CT160" i="1"/>
  <c r="S160" i="1" s="1"/>
  <c r="CU160" i="1"/>
  <c r="T160" i="1" s="1"/>
  <c r="CV160" i="1"/>
  <c r="U160" i="1" s="1"/>
  <c r="CW160" i="1"/>
  <c r="V160" i="1" s="1"/>
  <c r="CX160" i="1"/>
  <c r="W160" i="1" s="1"/>
  <c r="CY160" i="1"/>
  <c r="X160" i="1" s="1"/>
  <c r="CZ160" i="1"/>
  <c r="Y160" i="1" s="1"/>
  <c r="FR160" i="1"/>
  <c r="GL160" i="1"/>
  <c r="GN160" i="1"/>
  <c r="GP160" i="1"/>
  <c r="GV160" i="1"/>
  <c r="HC160" i="1"/>
  <c r="GX160" i="1" s="1"/>
  <c r="I161" i="1"/>
  <c r="K161" i="1"/>
  <c r="AC161" i="1"/>
  <c r="AE161" i="1"/>
  <c r="AD161" i="1" s="1"/>
  <c r="AF161" i="1"/>
  <c r="AG161" i="1"/>
  <c r="AH161" i="1"/>
  <c r="AI161" i="1"/>
  <c r="AJ161" i="1"/>
  <c r="CQ161" i="1"/>
  <c r="P161" i="1" s="1"/>
  <c r="CR161" i="1"/>
  <c r="Q161" i="1" s="1"/>
  <c r="CS161" i="1"/>
  <c r="R161" i="1" s="1"/>
  <c r="CT161" i="1"/>
  <c r="S161" i="1" s="1"/>
  <c r="CU161" i="1"/>
  <c r="T161" i="1" s="1"/>
  <c r="CV161" i="1"/>
  <c r="U161" i="1" s="1"/>
  <c r="CW161" i="1"/>
  <c r="V161" i="1" s="1"/>
  <c r="CX161" i="1"/>
  <c r="W161" i="1" s="1"/>
  <c r="CY161" i="1"/>
  <c r="X161" i="1" s="1"/>
  <c r="CZ161" i="1"/>
  <c r="Y161" i="1" s="1"/>
  <c r="FR161" i="1"/>
  <c r="GL161" i="1"/>
  <c r="GN161" i="1"/>
  <c r="GP161" i="1"/>
  <c r="GV161" i="1"/>
  <c r="HC161" i="1"/>
  <c r="GX161" i="1" s="1"/>
  <c r="I162" i="1"/>
  <c r="K162" i="1"/>
  <c r="AC162" i="1"/>
  <c r="AE162" i="1"/>
  <c r="AD162" i="1" s="1"/>
  <c r="AF162" i="1"/>
  <c r="AG162" i="1"/>
  <c r="AH162" i="1"/>
  <c r="AI162" i="1"/>
  <c r="AJ162" i="1"/>
  <c r="CQ162" i="1"/>
  <c r="P162" i="1" s="1"/>
  <c r="CR162" i="1"/>
  <c r="Q162" i="1" s="1"/>
  <c r="CS162" i="1"/>
  <c r="R162" i="1" s="1"/>
  <c r="CT162" i="1"/>
  <c r="S162" i="1" s="1"/>
  <c r="CU162" i="1"/>
  <c r="T162" i="1" s="1"/>
  <c r="CV162" i="1"/>
  <c r="U162" i="1" s="1"/>
  <c r="CW162" i="1"/>
  <c r="V162" i="1" s="1"/>
  <c r="CX162" i="1"/>
  <c r="W162" i="1" s="1"/>
  <c r="CY162" i="1"/>
  <c r="X162" i="1" s="1"/>
  <c r="CZ162" i="1"/>
  <c r="Y162" i="1" s="1"/>
  <c r="FR162" i="1"/>
  <c r="GL162" i="1"/>
  <c r="GN162" i="1"/>
  <c r="GP162" i="1"/>
  <c r="GV162" i="1"/>
  <c r="HC162" i="1"/>
  <c r="GX162" i="1" s="1"/>
  <c r="I163" i="1"/>
  <c r="K163" i="1"/>
  <c r="AC163" i="1"/>
  <c r="AE163" i="1"/>
  <c r="AD163" i="1" s="1"/>
  <c r="AF163" i="1"/>
  <c r="AG163" i="1"/>
  <c r="AH163" i="1"/>
  <c r="AI163" i="1"/>
  <c r="AJ163" i="1"/>
  <c r="CQ163" i="1"/>
  <c r="P163" i="1" s="1"/>
  <c r="CR163" i="1"/>
  <c r="Q163" i="1" s="1"/>
  <c r="CS163" i="1"/>
  <c r="R163" i="1" s="1"/>
  <c r="CT163" i="1"/>
  <c r="S163" i="1" s="1"/>
  <c r="CU163" i="1"/>
  <c r="T163" i="1" s="1"/>
  <c r="CV163" i="1"/>
  <c r="U163" i="1" s="1"/>
  <c r="CW163" i="1"/>
  <c r="V163" i="1" s="1"/>
  <c r="CX163" i="1"/>
  <c r="W163" i="1" s="1"/>
  <c r="CY163" i="1"/>
  <c r="X163" i="1" s="1"/>
  <c r="CZ163" i="1"/>
  <c r="Y163" i="1" s="1"/>
  <c r="FR163" i="1"/>
  <c r="GL163" i="1"/>
  <c r="GN163" i="1"/>
  <c r="GP163" i="1"/>
  <c r="GV163" i="1"/>
  <c r="HC163" i="1"/>
  <c r="GX163" i="1" s="1"/>
  <c r="AC164" i="1"/>
  <c r="AE164" i="1"/>
  <c r="AD164" i="1" s="1"/>
  <c r="AF164" i="1"/>
  <c r="AG164" i="1"/>
  <c r="AH164" i="1"/>
  <c r="AI164" i="1"/>
  <c r="AJ164" i="1"/>
  <c r="CQ164" i="1"/>
  <c r="P164" i="1" s="1"/>
  <c r="CR164" i="1"/>
  <c r="Q164" i="1" s="1"/>
  <c r="CS164" i="1"/>
  <c r="R164" i="1" s="1"/>
  <c r="CT164" i="1"/>
  <c r="S164" i="1" s="1"/>
  <c r="CU164" i="1"/>
  <c r="T164" i="1" s="1"/>
  <c r="CV164" i="1"/>
  <c r="U164" i="1" s="1"/>
  <c r="CW164" i="1"/>
  <c r="V164" i="1" s="1"/>
  <c r="CX164" i="1"/>
  <c r="W164" i="1" s="1"/>
  <c r="CY164" i="1"/>
  <c r="X164" i="1" s="1"/>
  <c r="CZ164" i="1"/>
  <c r="Y164" i="1" s="1"/>
  <c r="FR164" i="1"/>
  <c r="GL164" i="1"/>
  <c r="GO164" i="1"/>
  <c r="GP164" i="1"/>
  <c r="GV164" i="1"/>
  <c r="HC164" i="1"/>
  <c r="GX164" i="1" s="1"/>
  <c r="I165" i="1"/>
  <c r="K165" i="1"/>
  <c r="AC165" i="1"/>
  <c r="AE165" i="1"/>
  <c r="AD165" i="1" s="1"/>
  <c r="AF165" i="1"/>
  <c r="AG165" i="1"/>
  <c r="AH165" i="1"/>
  <c r="AI165" i="1"/>
  <c r="AJ165" i="1"/>
  <c r="CQ165" i="1"/>
  <c r="P165" i="1" s="1"/>
  <c r="CR165" i="1"/>
  <c r="Q165" i="1" s="1"/>
  <c r="CS165" i="1"/>
  <c r="R165" i="1" s="1"/>
  <c r="CT165" i="1"/>
  <c r="S165" i="1" s="1"/>
  <c r="CU165" i="1"/>
  <c r="T165" i="1" s="1"/>
  <c r="CV165" i="1"/>
  <c r="U165" i="1" s="1"/>
  <c r="CW165" i="1"/>
  <c r="V165" i="1" s="1"/>
  <c r="CX165" i="1"/>
  <c r="W165" i="1" s="1"/>
  <c r="CY165" i="1"/>
  <c r="X165" i="1" s="1"/>
  <c r="CZ165" i="1"/>
  <c r="Y165" i="1" s="1"/>
  <c r="FR165" i="1"/>
  <c r="GL165" i="1"/>
  <c r="GN165" i="1"/>
  <c r="GP165" i="1"/>
  <c r="GV165" i="1"/>
  <c r="HC165" i="1"/>
  <c r="GX165" i="1" s="1"/>
  <c r="AC166" i="1"/>
  <c r="AE166" i="1"/>
  <c r="AD166" i="1" s="1"/>
  <c r="AF166" i="1"/>
  <c r="AG166" i="1"/>
  <c r="AH166" i="1"/>
  <c r="AI166" i="1"/>
  <c r="AJ166" i="1"/>
  <c r="CQ166" i="1"/>
  <c r="P166" i="1" s="1"/>
  <c r="CR166" i="1"/>
  <c r="Q166" i="1" s="1"/>
  <c r="CS166" i="1"/>
  <c r="R166" i="1" s="1"/>
  <c r="CT166" i="1"/>
  <c r="S166" i="1" s="1"/>
  <c r="CU166" i="1"/>
  <c r="T166" i="1" s="1"/>
  <c r="CV166" i="1"/>
  <c r="U166" i="1" s="1"/>
  <c r="CW166" i="1"/>
  <c r="V166" i="1" s="1"/>
  <c r="CX166" i="1"/>
  <c r="W166" i="1" s="1"/>
  <c r="CY166" i="1"/>
  <c r="X166" i="1" s="1"/>
  <c r="CZ166" i="1"/>
  <c r="Y166" i="1" s="1"/>
  <c r="FR166" i="1"/>
  <c r="GL166" i="1"/>
  <c r="GN166" i="1"/>
  <c r="GP166" i="1"/>
  <c r="GV166" i="1"/>
  <c r="HC166" i="1"/>
  <c r="GX166" i="1" s="1"/>
  <c r="AC167" i="1"/>
  <c r="AE167" i="1"/>
  <c r="AD167" i="1" s="1"/>
  <c r="AF167" i="1"/>
  <c r="AG167" i="1"/>
  <c r="AH167" i="1"/>
  <c r="AI167" i="1"/>
  <c r="AJ167" i="1"/>
  <c r="CQ167" i="1"/>
  <c r="P167" i="1" s="1"/>
  <c r="CR167" i="1"/>
  <c r="Q167" i="1" s="1"/>
  <c r="CS167" i="1"/>
  <c r="R167" i="1" s="1"/>
  <c r="CT167" i="1"/>
  <c r="S167" i="1" s="1"/>
  <c r="CU167" i="1"/>
  <c r="T167" i="1" s="1"/>
  <c r="CV167" i="1"/>
  <c r="U167" i="1" s="1"/>
  <c r="CW167" i="1"/>
  <c r="V167" i="1" s="1"/>
  <c r="CX167" i="1"/>
  <c r="W167" i="1" s="1"/>
  <c r="CY167" i="1"/>
  <c r="X167" i="1" s="1"/>
  <c r="CZ167" i="1"/>
  <c r="Y167" i="1" s="1"/>
  <c r="FR167" i="1"/>
  <c r="GL167" i="1"/>
  <c r="GO167" i="1"/>
  <c r="GP167" i="1"/>
  <c r="GV167" i="1"/>
  <c r="HC167" i="1"/>
  <c r="GX167" i="1" s="1"/>
  <c r="AC168" i="1"/>
  <c r="AE168" i="1"/>
  <c r="AD168" i="1" s="1"/>
  <c r="AF168" i="1"/>
  <c r="AG168" i="1"/>
  <c r="AH168" i="1"/>
  <c r="AI168" i="1"/>
  <c r="AJ168" i="1"/>
  <c r="CQ168" i="1"/>
  <c r="P168" i="1" s="1"/>
  <c r="CR168" i="1"/>
  <c r="Q168" i="1" s="1"/>
  <c r="CS168" i="1"/>
  <c r="R168" i="1" s="1"/>
  <c r="CT168" i="1"/>
  <c r="S168" i="1" s="1"/>
  <c r="CU168" i="1"/>
  <c r="T168" i="1" s="1"/>
  <c r="CV168" i="1"/>
  <c r="U168" i="1" s="1"/>
  <c r="CW168" i="1"/>
  <c r="V168" i="1" s="1"/>
  <c r="CX168" i="1"/>
  <c r="W168" i="1" s="1"/>
  <c r="CY168" i="1"/>
  <c r="X168" i="1" s="1"/>
  <c r="CZ168" i="1"/>
  <c r="Y168" i="1" s="1"/>
  <c r="FR168" i="1"/>
  <c r="GL168" i="1"/>
  <c r="GO168" i="1"/>
  <c r="GP168" i="1"/>
  <c r="GV168" i="1"/>
  <c r="HC168" i="1"/>
  <c r="GX168" i="1" s="1"/>
  <c r="I169" i="1"/>
  <c r="K169" i="1"/>
  <c r="AC169" i="1"/>
  <c r="AE169" i="1"/>
  <c r="AD169" i="1" s="1"/>
  <c r="AF169" i="1"/>
  <c r="AG169" i="1"/>
  <c r="AH169" i="1"/>
  <c r="AI169" i="1"/>
  <c r="AJ169" i="1"/>
  <c r="CQ169" i="1"/>
  <c r="P169" i="1" s="1"/>
  <c r="CR169" i="1"/>
  <c r="Q169" i="1" s="1"/>
  <c r="CS169" i="1"/>
  <c r="R169" i="1" s="1"/>
  <c r="CT169" i="1"/>
  <c r="S169" i="1" s="1"/>
  <c r="CU169" i="1"/>
  <c r="T169" i="1" s="1"/>
  <c r="CV169" i="1"/>
  <c r="U169" i="1" s="1"/>
  <c r="CW169" i="1"/>
  <c r="V169" i="1" s="1"/>
  <c r="CX169" i="1"/>
  <c r="W169" i="1" s="1"/>
  <c r="CY169" i="1"/>
  <c r="X169" i="1" s="1"/>
  <c r="CZ169" i="1"/>
  <c r="Y169" i="1" s="1"/>
  <c r="FR169" i="1"/>
  <c r="GL169" i="1"/>
  <c r="GO169" i="1"/>
  <c r="GP169" i="1"/>
  <c r="GV169" i="1"/>
  <c r="HC169" i="1"/>
  <c r="GX169" i="1" s="1"/>
  <c r="AC170" i="1"/>
  <c r="AE170" i="1"/>
  <c r="AD170" i="1" s="1"/>
  <c r="AF170" i="1"/>
  <c r="AG170" i="1"/>
  <c r="AH170" i="1"/>
  <c r="AI170" i="1"/>
  <c r="AJ170" i="1"/>
  <c r="CQ170" i="1"/>
  <c r="P170" i="1" s="1"/>
  <c r="CR170" i="1"/>
  <c r="Q170" i="1" s="1"/>
  <c r="CS170" i="1"/>
  <c r="R170" i="1" s="1"/>
  <c r="CT170" i="1"/>
  <c r="S170" i="1" s="1"/>
  <c r="CU170" i="1"/>
  <c r="T170" i="1" s="1"/>
  <c r="CV170" i="1"/>
  <c r="U170" i="1" s="1"/>
  <c r="CW170" i="1"/>
  <c r="V170" i="1" s="1"/>
  <c r="CX170" i="1"/>
  <c r="W170" i="1" s="1"/>
  <c r="CY170" i="1"/>
  <c r="X170" i="1" s="1"/>
  <c r="CZ170" i="1"/>
  <c r="Y170" i="1" s="1"/>
  <c r="FR170" i="1"/>
  <c r="GL170" i="1"/>
  <c r="GO170" i="1"/>
  <c r="GP170" i="1"/>
  <c r="GV170" i="1"/>
  <c r="HC170" i="1"/>
  <c r="GX170" i="1" s="1"/>
  <c r="B172" i="1"/>
  <c r="B152" i="1" s="1"/>
  <c r="C172" i="1"/>
  <c r="C152" i="1" s="1"/>
  <c r="D172" i="1"/>
  <c r="D152" i="1" s="1"/>
  <c r="F172" i="1"/>
  <c r="F152" i="1" s="1"/>
  <c r="G172" i="1"/>
  <c r="G152" i="1" s="1"/>
  <c r="AC172" i="1"/>
  <c r="AD172" i="1"/>
  <c r="AE172" i="1"/>
  <c r="AF172" i="1"/>
  <c r="AG172" i="1"/>
  <c r="AH172" i="1"/>
  <c r="AI172" i="1"/>
  <c r="AJ172" i="1"/>
  <c r="AK172" i="1"/>
  <c r="AL172" i="1"/>
  <c r="BX172" i="1"/>
  <c r="BY172" i="1"/>
  <c r="BZ172" i="1"/>
  <c r="CD172" i="1"/>
  <c r="CE172" i="1"/>
  <c r="CF172" i="1"/>
  <c r="CG172" i="1"/>
  <c r="CH172" i="1"/>
  <c r="CI172" i="1"/>
  <c r="CJ172" i="1"/>
  <c r="CK172" i="1"/>
  <c r="CL172" i="1"/>
  <c r="CM172" i="1"/>
  <c r="D202" i="1"/>
  <c r="E204" i="1"/>
  <c r="Z204" i="1"/>
  <c r="AA204" i="1"/>
  <c r="AM204" i="1"/>
  <c r="AN204" i="1"/>
  <c r="BE204" i="1"/>
  <c r="BF204" i="1"/>
  <c r="BG204" i="1"/>
  <c r="BH204" i="1"/>
  <c r="BI204" i="1"/>
  <c r="BJ204" i="1"/>
  <c r="BK204" i="1"/>
  <c r="BL204" i="1"/>
  <c r="BM204" i="1"/>
  <c r="BN204" i="1"/>
  <c r="BO204" i="1"/>
  <c r="BP204" i="1"/>
  <c r="BQ204" i="1"/>
  <c r="BR204" i="1"/>
  <c r="BS204" i="1"/>
  <c r="BT204" i="1"/>
  <c r="BU204" i="1"/>
  <c r="BV204" i="1"/>
  <c r="BW204" i="1"/>
  <c r="CN204" i="1"/>
  <c r="CO204" i="1"/>
  <c r="CP204" i="1"/>
  <c r="CQ204" i="1"/>
  <c r="CR204" i="1"/>
  <c r="CS204" i="1"/>
  <c r="CT204" i="1"/>
  <c r="CU204" i="1"/>
  <c r="CV204" i="1"/>
  <c r="CW204" i="1"/>
  <c r="CX204" i="1"/>
  <c r="CY204" i="1"/>
  <c r="CZ204" i="1"/>
  <c r="DA204" i="1"/>
  <c r="DB204" i="1"/>
  <c r="DC204" i="1"/>
  <c r="DD204" i="1"/>
  <c r="DE204" i="1"/>
  <c r="DF204" i="1"/>
  <c r="DG204" i="1"/>
  <c r="DH204" i="1"/>
  <c r="DI204" i="1"/>
  <c r="DJ204" i="1"/>
  <c r="DK204" i="1"/>
  <c r="DL204" i="1"/>
  <c r="DM204" i="1"/>
  <c r="DN204" i="1"/>
  <c r="DO204" i="1"/>
  <c r="DP204" i="1"/>
  <c r="DQ204" i="1"/>
  <c r="DR204" i="1"/>
  <c r="DS204" i="1"/>
  <c r="DT204" i="1"/>
  <c r="DU204" i="1"/>
  <c r="DV204" i="1"/>
  <c r="DW204" i="1"/>
  <c r="DX204" i="1"/>
  <c r="DY204" i="1"/>
  <c r="DZ204" i="1"/>
  <c r="EA204" i="1"/>
  <c r="EB204" i="1"/>
  <c r="EC204" i="1"/>
  <c r="ED204" i="1"/>
  <c r="EE204" i="1"/>
  <c r="EF204" i="1"/>
  <c r="EG204" i="1"/>
  <c r="EH204" i="1"/>
  <c r="EI204" i="1"/>
  <c r="EJ204" i="1"/>
  <c r="EK204" i="1"/>
  <c r="EL204" i="1"/>
  <c r="EM204" i="1"/>
  <c r="EN204" i="1"/>
  <c r="EO204" i="1"/>
  <c r="EP204" i="1"/>
  <c r="EQ204" i="1"/>
  <c r="ER204" i="1"/>
  <c r="ES204" i="1"/>
  <c r="ET204" i="1"/>
  <c r="EU204" i="1"/>
  <c r="EV204" i="1"/>
  <c r="EW204" i="1"/>
  <c r="EX204" i="1"/>
  <c r="EY204" i="1"/>
  <c r="EZ204" i="1"/>
  <c r="FA204" i="1"/>
  <c r="FB204" i="1"/>
  <c r="FC204" i="1"/>
  <c r="FD204" i="1"/>
  <c r="FE204" i="1"/>
  <c r="FF204" i="1"/>
  <c r="FG204" i="1"/>
  <c r="FH204" i="1"/>
  <c r="FI204" i="1"/>
  <c r="FJ204" i="1"/>
  <c r="FK204" i="1"/>
  <c r="FL204" i="1"/>
  <c r="FM204" i="1"/>
  <c r="FN204" i="1"/>
  <c r="FO204" i="1"/>
  <c r="FP204" i="1"/>
  <c r="FQ204" i="1"/>
  <c r="FR204" i="1"/>
  <c r="FS204" i="1"/>
  <c r="FT204" i="1"/>
  <c r="FU204" i="1"/>
  <c r="FV204" i="1"/>
  <c r="FW204" i="1"/>
  <c r="FX204" i="1"/>
  <c r="FY204" i="1"/>
  <c r="FZ204" i="1"/>
  <c r="GA204" i="1"/>
  <c r="GB204" i="1"/>
  <c r="GC204" i="1"/>
  <c r="GD204" i="1"/>
  <c r="GE204" i="1"/>
  <c r="GF204" i="1"/>
  <c r="GG204" i="1"/>
  <c r="GH204" i="1"/>
  <c r="GI204" i="1"/>
  <c r="GJ204" i="1"/>
  <c r="GK204" i="1"/>
  <c r="GL204" i="1"/>
  <c r="GM204" i="1"/>
  <c r="GN204" i="1"/>
  <c r="GO204" i="1"/>
  <c r="GP204" i="1"/>
  <c r="GQ204" i="1"/>
  <c r="GR204" i="1"/>
  <c r="GS204" i="1"/>
  <c r="GT204" i="1"/>
  <c r="GU204" i="1"/>
  <c r="GV204" i="1"/>
  <c r="GW204" i="1"/>
  <c r="GX204" i="1"/>
  <c r="C206" i="1"/>
  <c r="D206" i="1"/>
  <c r="P206" i="1"/>
  <c r="Q206" i="1"/>
  <c r="R206" i="1"/>
  <c r="S206" i="1"/>
  <c r="U206" i="1"/>
  <c r="G583" i="7" s="1"/>
  <c r="V206" i="1"/>
  <c r="AC206" i="1"/>
  <c r="AE206" i="1"/>
  <c r="AD206" i="1" s="1"/>
  <c r="AF206" i="1"/>
  <c r="AG206" i="1"/>
  <c r="AH206" i="1"/>
  <c r="AI206" i="1"/>
  <c r="AJ206" i="1"/>
  <c r="CP206" i="1"/>
  <c r="O206" i="1" s="1"/>
  <c r="CQ206" i="1"/>
  <c r="CR206" i="1"/>
  <c r="CS206" i="1"/>
  <c r="CT206" i="1"/>
  <c r="CU206" i="1"/>
  <c r="T206" i="1" s="1"/>
  <c r="CV206" i="1"/>
  <c r="CW206" i="1"/>
  <c r="CX206" i="1"/>
  <c r="W206" i="1" s="1"/>
  <c r="CY206" i="1"/>
  <c r="X206" i="1" s="1"/>
  <c r="AZ590" i="7" s="1"/>
  <c r="CZ206" i="1"/>
  <c r="Y206" i="1" s="1"/>
  <c r="BA590" i="7" s="1"/>
  <c r="FR206" i="1"/>
  <c r="GL206" i="1"/>
  <c r="GN206" i="1"/>
  <c r="GO206" i="1"/>
  <c r="GV206" i="1"/>
  <c r="HC206" i="1"/>
  <c r="GX206" i="1" s="1"/>
  <c r="GM206" i="1" s="1"/>
  <c r="GP206" i="1" s="1"/>
  <c r="C207" i="1"/>
  <c r="D207" i="1"/>
  <c r="P207" i="1"/>
  <c r="Q207" i="1"/>
  <c r="R207" i="1"/>
  <c r="S207" i="1"/>
  <c r="U207" i="1"/>
  <c r="G592" i="7" s="1"/>
  <c r="V207" i="1"/>
  <c r="AC207" i="1"/>
  <c r="AE207" i="1"/>
  <c r="AD207" i="1" s="1"/>
  <c r="AF207" i="1"/>
  <c r="AG207" i="1"/>
  <c r="AH207" i="1"/>
  <c r="AI207" i="1"/>
  <c r="AJ207" i="1"/>
  <c r="CP207" i="1"/>
  <c r="O207" i="1" s="1"/>
  <c r="CQ207" i="1"/>
  <c r="CR207" i="1"/>
  <c r="CS207" i="1"/>
  <c r="CT207" i="1"/>
  <c r="CU207" i="1"/>
  <c r="T207" i="1" s="1"/>
  <c r="CV207" i="1"/>
  <c r="CW207" i="1"/>
  <c r="CX207" i="1"/>
  <c r="W207" i="1" s="1"/>
  <c r="CY207" i="1"/>
  <c r="X207" i="1" s="1"/>
  <c r="AZ599" i="7" s="1"/>
  <c r="L597" i="7" s="1"/>
  <c r="CZ207" i="1"/>
  <c r="Y207" i="1" s="1"/>
  <c r="BA599" i="7" s="1"/>
  <c r="L598" i="7" s="1"/>
  <c r="FR207" i="1"/>
  <c r="GL207" i="1"/>
  <c r="GN207" i="1"/>
  <c r="GO207" i="1"/>
  <c r="GV207" i="1"/>
  <c r="HC207" i="1"/>
  <c r="GX207" i="1" s="1"/>
  <c r="GM207" i="1" s="1"/>
  <c r="GP207" i="1" s="1"/>
  <c r="C208" i="1"/>
  <c r="D208" i="1"/>
  <c r="P208" i="1"/>
  <c r="Q208" i="1"/>
  <c r="R208" i="1"/>
  <c r="S208" i="1"/>
  <c r="U208" i="1"/>
  <c r="G601" i="7" s="1"/>
  <c r="V208" i="1"/>
  <c r="AC208" i="1"/>
  <c r="AE208" i="1"/>
  <c r="AD208" i="1" s="1"/>
  <c r="AF208" i="1"/>
  <c r="AG208" i="1"/>
  <c r="AH208" i="1"/>
  <c r="AI208" i="1"/>
  <c r="AJ208" i="1"/>
  <c r="CP208" i="1"/>
  <c r="O208" i="1" s="1"/>
  <c r="CQ208" i="1"/>
  <c r="CR208" i="1"/>
  <c r="CS208" i="1"/>
  <c r="CT208" i="1"/>
  <c r="CU208" i="1"/>
  <c r="T208" i="1" s="1"/>
  <c r="CV208" i="1"/>
  <c r="CW208" i="1"/>
  <c r="CX208" i="1"/>
  <c r="W208" i="1" s="1"/>
  <c r="CY208" i="1"/>
  <c r="X208" i="1" s="1"/>
  <c r="AZ608" i="7" s="1"/>
  <c r="L606" i="7" s="1"/>
  <c r="CZ208" i="1"/>
  <c r="Y208" i="1" s="1"/>
  <c r="BA608" i="7" s="1"/>
  <c r="L607" i="7" s="1"/>
  <c r="FR208" i="1"/>
  <c r="GL208" i="1"/>
  <c r="GN208" i="1"/>
  <c r="GO208" i="1"/>
  <c r="GV208" i="1"/>
  <c r="HC208" i="1"/>
  <c r="GX208" i="1" s="1"/>
  <c r="GM208" i="1" s="1"/>
  <c r="GP208" i="1" s="1"/>
  <c r="C209" i="1"/>
  <c r="D209" i="1"/>
  <c r="P209" i="1"/>
  <c r="Q209" i="1"/>
  <c r="R209" i="1"/>
  <c r="S209" i="1"/>
  <c r="U209" i="1"/>
  <c r="G610" i="7" s="1"/>
  <c r="V209" i="1"/>
  <c r="AC209" i="1"/>
  <c r="AE209" i="1"/>
  <c r="AD209" i="1" s="1"/>
  <c r="AF209" i="1"/>
  <c r="AG209" i="1"/>
  <c r="AH209" i="1"/>
  <c r="AI209" i="1"/>
  <c r="AJ209" i="1"/>
  <c r="CP209" i="1"/>
  <c r="O209" i="1" s="1"/>
  <c r="CQ209" i="1"/>
  <c r="CR209" i="1"/>
  <c r="CS209" i="1"/>
  <c r="CT209" i="1"/>
  <c r="CU209" i="1"/>
  <c r="T209" i="1" s="1"/>
  <c r="CV209" i="1"/>
  <c r="CW209" i="1"/>
  <c r="CX209" i="1"/>
  <c r="W209" i="1" s="1"/>
  <c r="CY209" i="1"/>
  <c r="X209" i="1" s="1"/>
  <c r="AZ617" i="7" s="1"/>
  <c r="L615" i="7" s="1"/>
  <c r="CZ209" i="1"/>
  <c r="Y209" i="1" s="1"/>
  <c r="BA617" i="7" s="1"/>
  <c r="L616" i="7" s="1"/>
  <c r="FR209" i="1"/>
  <c r="GL209" i="1"/>
  <c r="GN209" i="1"/>
  <c r="GO209" i="1"/>
  <c r="GV209" i="1"/>
  <c r="HC209" i="1"/>
  <c r="GX209" i="1" s="1"/>
  <c r="GM209" i="1" s="1"/>
  <c r="GP209" i="1" s="1"/>
  <c r="C210" i="1"/>
  <c r="D210" i="1"/>
  <c r="P210" i="1"/>
  <c r="Q210" i="1"/>
  <c r="R210" i="1"/>
  <c r="S210" i="1"/>
  <c r="U210" i="1"/>
  <c r="G619" i="7" s="1"/>
  <c r="V210" i="1"/>
  <c r="AC210" i="1"/>
  <c r="AE210" i="1"/>
  <c r="AD210" i="1" s="1"/>
  <c r="AF210" i="1"/>
  <c r="AG210" i="1"/>
  <c r="AH210" i="1"/>
  <c r="AI210" i="1"/>
  <c r="AJ210" i="1"/>
  <c r="CP210" i="1"/>
  <c r="O210" i="1" s="1"/>
  <c r="CQ210" i="1"/>
  <c r="CR210" i="1"/>
  <c r="CS210" i="1"/>
  <c r="CT210" i="1"/>
  <c r="CU210" i="1"/>
  <c r="T210" i="1" s="1"/>
  <c r="CV210" i="1"/>
  <c r="CW210" i="1"/>
  <c r="CX210" i="1"/>
  <c r="W210" i="1" s="1"/>
  <c r="CY210" i="1"/>
  <c r="X210" i="1" s="1"/>
  <c r="AZ626" i="7" s="1"/>
  <c r="L624" i="7" s="1"/>
  <c r="CZ210" i="1"/>
  <c r="Y210" i="1" s="1"/>
  <c r="BA626" i="7" s="1"/>
  <c r="L625" i="7" s="1"/>
  <c r="FR210" i="1"/>
  <c r="GL210" i="1"/>
  <c r="GN210" i="1"/>
  <c r="GO210" i="1"/>
  <c r="GV210" i="1"/>
  <c r="HC210" i="1"/>
  <c r="GX210" i="1" s="1"/>
  <c r="GM210" i="1" s="1"/>
  <c r="GP210" i="1" s="1"/>
  <c r="C211" i="1"/>
  <c r="D211" i="1"/>
  <c r="I211" i="1"/>
  <c r="K211" i="1"/>
  <c r="V211" i="1"/>
  <c r="AC211" i="1"/>
  <c r="AE211" i="1"/>
  <c r="AD211" i="1" s="1"/>
  <c r="AF211" i="1"/>
  <c r="AG211" i="1"/>
  <c r="AH211" i="1"/>
  <c r="AI211" i="1"/>
  <c r="AJ211" i="1"/>
  <c r="CQ211" i="1"/>
  <c r="CR211" i="1"/>
  <c r="CS211" i="1"/>
  <c r="CT211" i="1"/>
  <c r="CU211" i="1"/>
  <c r="T211" i="1" s="1"/>
  <c r="CV211" i="1"/>
  <c r="CW211" i="1"/>
  <c r="CX211" i="1"/>
  <c r="W211" i="1" s="1"/>
  <c r="FR211" i="1"/>
  <c r="GL211" i="1"/>
  <c r="GN211" i="1"/>
  <c r="GO211" i="1"/>
  <c r="GV211" i="1"/>
  <c r="HC211" i="1"/>
  <c r="GX211" i="1" s="1"/>
  <c r="B213" i="1"/>
  <c r="B204" i="1" s="1"/>
  <c r="C213" i="1"/>
  <c r="C204" i="1" s="1"/>
  <c r="D213" i="1"/>
  <c r="D204" i="1" s="1"/>
  <c r="F213" i="1"/>
  <c r="F204" i="1" s="1"/>
  <c r="G213" i="1"/>
  <c r="G204" i="1" s="1"/>
  <c r="AG213" i="1"/>
  <c r="AI213" i="1"/>
  <c r="AJ213" i="1"/>
  <c r="BX213" i="1"/>
  <c r="BY213" i="1"/>
  <c r="BZ213" i="1"/>
  <c r="CB213" i="1"/>
  <c r="CC213" i="1"/>
  <c r="CG213" i="1"/>
  <c r="CI213" i="1"/>
  <c r="CJ213" i="1"/>
  <c r="CK213" i="1"/>
  <c r="CL213" i="1"/>
  <c r="CM213" i="1"/>
  <c r="B243" i="1"/>
  <c r="B56" i="1" s="1"/>
  <c r="C243" i="1"/>
  <c r="C56" i="1" s="1"/>
  <c r="D243" i="1"/>
  <c r="D56" i="1" s="1"/>
  <c r="F243" i="1"/>
  <c r="F56" i="1" s="1"/>
  <c r="G243" i="1"/>
  <c r="G56" i="1" s="1"/>
  <c r="B276" i="1"/>
  <c r="B18" i="1" s="1"/>
  <c r="C276" i="1"/>
  <c r="C18" i="1" s="1"/>
  <c r="D276" i="1"/>
  <c r="D18" i="1" s="1"/>
  <c r="F276" i="1"/>
  <c r="F18" i="1" s="1"/>
  <c r="G276" i="1"/>
  <c r="G18" i="1" s="1"/>
  <c r="F12" i="6"/>
  <c r="G12" i="6"/>
  <c r="CY12" i="6"/>
  <c r="AR68" i="7" l="1"/>
  <c r="AT68" i="7"/>
  <c r="L58" i="7"/>
  <c r="L66" i="7"/>
  <c r="L67" i="7"/>
  <c r="L244" i="7"/>
  <c r="L242" i="7" s="1"/>
  <c r="AR83" i="7"/>
  <c r="AT83" i="7"/>
  <c r="L72" i="7"/>
  <c r="AR96" i="7"/>
  <c r="AT96" i="7"/>
  <c r="L87" i="7"/>
  <c r="AR110" i="7"/>
  <c r="AT110" i="7"/>
  <c r="L100" i="7"/>
  <c r="AR124" i="7"/>
  <c r="AT124" i="7"/>
  <c r="L114" i="7"/>
  <c r="AR136" i="7"/>
  <c r="AT136" i="7"/>
  <c r="L128" i="7"/>
  <c r="AR150" i="7"/>
  <c r="AT150" i="7"/>
  <c r="L141" i="7"/>
  <c r="L148" i="7"/>
  <c r="L149" i="7"/>
  <c r="AR167" i="7"/>
  <c r="AT167" i="7"/>
  <c r="L155" i="7"/>
  <c r="AR190" i="7"/>
  <c r="AT190" i="7"/>
  <c r="L172" i="7"/>
  <c r="AR210" i="7"/>
  <c r="AT210" i="7"/>
  <c r="L196" i="7"/>
  <c r="AR231" i="7"/>
  <c r="AT231" i="7"/>
  <c r="L216" i="7"/>
  <c r="AR279" i="7"/>
  <c r="AT279" i="7"/>
  <c r="L268" i="7"/>
  <c r="L277" i="7"/>
  <c r="L278" i="7"/>
  <c r="AR292" i="7"/>
  <c r="AT292" i="7"/>
  <c r="L283" i="7"/>
  <c r="AR314" i="7"/>
  <c r="AT314" i="7"/>
  <c r="L296" i="7"/>
  <c r="AR336" i="7"/>
  <c r="AT336" i="7"/>
  <c r="L318" i="7"/>
  <c r="AR349" i="7"/>
  <c r="AT349" i="7"/>
  <c r="L340" i="7"/>
  <c r="AR373" i="7"/>
  <c r="AT373" i="7"/>
  <c r="L357" i="7"/>
  <c r="AR393" i="7"/>
  <c r="AT393" i="7"/>
  <c r="L378" i="7"/>
  <c r="AR410" i="7"/>
  <c r="AT410" i="7"/>
  <c r="L397" i="7"/>
  <c r="AR432" i="7"/>
  <c r="AT432" i="7"/>
  <c r="L414" i="7"/>
  <c r="AR451" i="7"/>
  <c r="AT451" i="7"/>
  <c r="L437" i="7"/>
  <c r="AR471" i="7"/>
  <c r="AT471" i="7"/>
  <c r="L456" i="7"/>
  <c r="AW506" i="7"/>
  <c r="AN506" i="7"/>
  <c r="K506" i="7"/>
  <c r="I506" i="7" s="1"/>
  <c r="L564" i="7"/>
  <c r="L552" i="7"/>
  <c r="AW509" i="7"/>
  <c r="AN509" i="7"/>
  <c r="K509" i="7"/>
  <c r="I509" i="7" s="1"/>
  <c r="AW512" i="7"/>
  <c r="AN512" i="7"/>
  <c r="K512" i="7"/>
  <c r="I512" i="7" s="1"/>
  <c r="AW515" i="7"/>
  <c r="AN515" i="7"/>
  <c r="K515" i="7"/>
  <c r="I515" i="7" s="1"/>
  <c r="AW518" i="7"/>
  <c r="AN518" i="7"/>
  <c r="K518" i="7"/>
  <c r="I518" i="7" s="1"/>
  <c r="AW520" i="7"/>
  <c r="AN520" i="7"/>
  <c r="K520" i="7"/>
  <c r="I520" i="7" s="1"/>
  <c r="AW523" i="7"/>
  <c r="AN523" i="7"/>
  <c r="K523" i="7"/>
  <c r="I523" i="7" s="1"/>
  <c r="AW526" i="7"/>
  <c r="AN526" i="7"/>
  <c r="K526" i="7"/>
  <c r="I526" i="7" s="1"/>
  <c r="AW529" i="7"/>
  <c r="AN529" i="7"/>
  <c r="K529" i="7"/>
  <c r="I529" i="7" s="1"/>
  <c r="AW532" i="7"/>
  <c r="AN532" i="7"/>
  <c r="K532" i="7"/>
  <c r="I532" i="7" s="1"/>
  <c r="AW534" i="7"/>
  <c r="AN534" i="7"/>
  <c r="K534" i="7"/>
  <c r="I534" i="7" s="1"/>
  <c r="AW537" i="7"/>
  <c r="AN537" i="7"/>
  <c r="K537" i="7"/>
  <c r="I537" i="7" s="1"/>
  <c r="AW539" i="7"/>
  <c r="AN539" i="7"/>
  <c r="K539" i="7"/>
  <c r="I539" i="7" s="1"/>
  <c r="AW541" i="7"/>
  <c r="AN541" i="7"/>
  <c r="K541" i="7"/>
  <c r="I541" i="7" s="1"/>
  <c r="AW543" i="7"/>
  <c r="AN543" i="7"/>
  <c r="K543" i="7"/>
  <c r="I543" i="7" s="1"/>
  <c r="AW546" i="7"/>
  <c r="AN546" i="7"/>
  <c r="K546" i="7"/>
  <c r="I546" i="7" s="1"/>
  <c r="AW548" i="7"/>
  <c r="AN548" i="7"/>
  <c r="K548" i="7"/>
  <c r="I548" i="7" s="1"/>
  <c r="AR590" i="7"/>
  <c r="L586" i="7"/>
  <c r="L588" i="7"/>
  <c r="L589" i="7"/>
  <c r="L727" i="7"/>
  <c r="L643" i="7"/>
  <c r="L729" i="7"/>
  <c r="L645" i="7"/>
  <c r="L733" i="7"/>
  <c r="L731" i="7" s="1"/>
  <c r="L649" i="7"/>
  <c r="L647" i="7" s="1"/>
  <c r="AR599" i="7"/>
  <c r="L596" i="7" s="1"/>
  <c r="AN599" i="7"/>
  <c r="K599" i="7"/>
  <c r="L595" i="7"/>
  <c r="AR608" i="7"/>
  <c r="L605" i="7" s="1"/>
  <c r="AN608" i="7"/>
  <c r="K608" i="7"/>
  <c r="L604" i="7"/>
  <c r="AR617" i="7"/>
  <c r="L614" i="7" s="1"/>
  <c r="AN617" i="7"/>
  <c r="K617" i="7"/>
  <c r="L613" i="7"/>
  <c r="AR626" i="7"/>
  <c r="L623" i="7" s="1"/>
  <c r="AN626" i="7"/>
  <c r="K626" i="7"/>
  <c r="L622" i="7"/>
  <c r="AR636" i="7"/>
  <c r="L633" i="7" s="1"/>
  <c r="L632" i="7"/>
  <c r="CM204" i="1"/>
  <c r="BD213" i="1"/>
  <c r="CL204" i="1"/>
  <c r="BC213" i="1"/>
  <c r="CK204" i="1"/>
  <c r="BB213" i="1"/>
  <c r="CJ204" i="1"/>
  <c r="BA213" i="1"/>
  <c r="CI204" i="1"/>
  <c r="AZ213" i="1"/>
  <c r="CG204" i="1"/>
  <c r="AX213" i="1"/>
  <c r="CC204" i="1"/>
  <c r="AT213" i="1"/>
  <c r="CB204" i="1"/>
  <c r="AS213" i="1"/>
  <c r="BZ204" i="1"/>
  <c r="AQ213" i="1"/>
  <c r="BY204" i="1"/>
  <c r="AP213" i="1"/>
  <c r="BX204" i="1"/>
  <c r="AO213" i="1"/>
  <c r="AJ204" i="1"/>
  <c r="W213" i="1"/>
  <c r="AI204" i="1"/>
  <c r="V213" i="1"/>
  <c r="AG204" i="1"/>
  <c r="T213" i="1"/>
  <c r="AB211" i="1"/>
  <c r="CU185" i="3"/>
  <c r="CV185" i="3"/>
  <c r="CX185" i="3"/>
  <c r="CU186" i="3"/>
  <c r="CV186" i="3"/>
  <c r="CX186" i="3"/>
  <c r="AB210" i="1"/>
  <c r="AB209" i="1"/>
  <c r="AB208" i="1"/>
  <c r="AB207" i="1"/>
  <c r="AB206" i="1"/>
  <c r="CM152" i="1"/>
  <c r="BD172" i="1"/>
  <c r="CL152" i="1"/>
  <c r="BC172" i="1"/>
  <c r="CK152" i="1"/>
  <c r="BB172" i="1"/>
  <c r="CJ152" i="1"/>
  <c r="BA172" i="1"/>
  <c r="CI152" i="1"/>
  <c r="AZ172" i="1"/>
  <c r="CH152" i="1"/>
  <c r="AY172" i="1"/>
  <c r="CG152" i="1"/>
  <c r="AX172" i="1"/>
  <c r="CF152" i="1"/>
  <c r="AW172" i="1"/>
  <c r="CE152" i="1"/>
  <c r="AV172" i="1"/>
  <c r="CD152" i="1"/>
  <c r="AU172" i="1"/>
  <c r="BZ152" i="1"/>
  <c r="AQ172" i="1"/>
  <c r="BY152" i="1"/>
  <c r="AP172" i="1"/>
  <c r="BX152" i="1"/>
  <c r="AO172" i="1"/>
  <c r="AL152" i="1"/>
  <c r="Y172" i="1"/>
  <c r="AK152" i="1"/>
  <c r="X172" i="1"/>
  <c r="AJ152" i="1"/>
  <c r="W172" i="1"/>
  <c r="AI152" i="1"/>
  <c r="V172" i="1"/>
  <c r="AH152" i="1"/>
  <c r="U172" i="1"/>
  <c r="AG152" i="1"/>
  <c r="T172" i="1"/>
  <c r="AF152" i="1"/>
  <c r="S172" i="1"/>
  <c r="AE152" i="1"/>
  <c r="R172" i="1"/>
  <c r="AD152" i="1"/>
  <c r="Q172" i="1"/>
  <c r="AC152" i="1"/>
  <c r="P172" i="1"/>
  <c r="CP170" i="1"/>
  <c r="O170" i="1" s="1"/>
  <c r="GM170" i="1" s="1"/>
  <c r="GN170" i="1" s="1"/>
  <c r="AB170" i="1"/>
  <c r="CP169" i="1"/>
  <c r="O169" i="1" s="1"/>
  <c r="GM169" i="1" s="1"/>
  <c r="GN169" i="1" s="1"/>
  <c r="AB169" i="1"/>
  <c r="CP168" i="1"/>
  <c r="O168" i="1" s="1"/>
  <c r="GM168" i="1" s="1"/>
  <c r="GN168" i="1" s="1"/>
  <c r="AB168" i="1"/>
  <c r="CP167" i="1"/>
  <c r="O167" i="1" s="1"/>
  <c r="GM167" i="1" s="1"/>
  <c r="GN167" i="1" s="1"/>
  <c r="AB167" i="1"/>
  <c r="CP166" i="1"/>
  <c r="O166" i="1" s="1"/>
  <c r="GM166" i="1" s="1"/>
  <c r="GO166" i="1" s="1"/>
  <c r="AB166" i="1"/>
  <c r="CP165" i="1"/>
  <c r="O165" i="1" s="1"/>
  <c r="GM165" i="1" s="1"/>
  <c r="GO165" i="1" s="1"/>
  <c r="AB165" i="1"/>
  <c r="CP164" i="1"/>
  <c r="O164" i="1" s="1"/>
  <c r="GM164" i="1" s="1"/>
  <c r="GN164" i="1" s="1"/>
  <c r="AB164" i="1"/>
  <c r="CP163" i="1"/>
  <c r="O163" i="1" s="1"/>
  <c r="GM163" i="1" s="1"/>
  <c r="GO163" i="1" s="1"/>
  <c r="AB163" i="1"/>
  <c r="CP162" i="1"/>
  <c r="O162" i="1" s="1"/>
  <c r="GM162" i="1" s="1"/>
  <c r="GO162" i="1" s="1"/>
  <c r="AB162" i="1"/>
  <c r="CP161" i="1"/>
  <c r="O161" i="1" s="1"/>
  <c r="GM161" i="1" s="1"/>
  <c r="GO161" i="1" s="1"/>
  <c r="AB161" i="1"/>
  <c r="CP160" i="1"/>
  <c r="O160" i="1" s="1"/>
  <c r="GM160" i="1" s="1"/>
  <c r="GO160" i="1" s="1"/>
  <c r="AB160" i="1"/>
  <c r="CP159" i="1"/>
  <c r="O159" i="1" s="1"/>
  <c r="GM159" i="1" s="1"/>
  <c r="GO159" i="1" s="1"/>
  <c r="AB159" i="1"/>
  <c r="CP158" i="1"/>
  <c r="O158" i="1" s="1"/>
  <c r="GM158" i="1" s="1"/>
  <c r="GO158" i="1" s="1"/>
  <c r="AB158" i="1"/>
  <c r="CP157" i="1"/>
  <c r="O157" i="1" s="1"/>
  <c r="GM157" i="1" s="1"/>
  <c r="GO157" i="1" s="1"/>
  <c r="AB157" i="1"/>
  <c r="CP156" i="1"/>
  <c r="O156" i="1" s="1"/>
  <c r="GM156" i="1" s="1"/>
  <c r="GO156" i="1" s="1"/>
  <c r="AB156" i="1"/>
  <c r="CP155" i="1"/>
  <c r="O155" i="1" s="1"/>
  <c r="GM155" i="1" s="1"/>
  <c r="GO155" i="1" s="1"/>
  <c r="CC172" i="1" s="1"/>
  <c r="AB155" i="1"/>
  <c r="CP154" i="1"/>
  <c r="O154" i="1" s="1"/>
  <c r="AB154" i="1"/>
  <c r="CM106" i="1"/>
  <c r="BD120" i="1"/>
  <c r="CL106" i="1"/>
  <c r="BC120" i="1"/>
  <c r="CK106" i="1"/>
  <c r="BB120" i="1"/>
  <c r="CJ106" i="1"/>
  <c r="BA120" i="1"/>
  <c r="CI106" i="1"/>
  <c r="AZ120" i="1"/>
  <c r="CG106" i="1"/>
  <c r="AX120" i="1"/>
  <c r="CD106" i="1"/>
  <c r="AU120" i="1"/>
  <c r="BZ106" i="1"/>
  <c r="AQ120" i="1"/>
  <c r="BY106" i="1"/>
  <c r="AP120" i="1"/>
  <c r="BX106" i="1"/>
  <c r="AO120" i="1"/>
  <c r="AJ106" i="1"/>
  <c r="W120" i="1"/>
  <c r="AG106" i="1"/>
  <c r="T120" i="1"/>
  <c r="AB118" i="1"/>
  <c r="CU166" i="3"/>
  <c r="CV166" i="3"/>
  <c r="U118" i="1" s="1"/>
  <c r="G454" i="7" s="1"/>
  <c r="CX166" i="3"/>
  <c r="CX167" i="3"/>
  <c r="CW168" i="3"/>
  <c r="CX168" i="3"/>
  <c r="CW169" i="3"/>
  <c r="CX169" i="3"/>
  <c r="CW170" i="3"/>
  <c r="CX170" i="3"/>
  <c r="CX171" i="3"/>
  <c r="CX172" i="3"/>
  <c r="CX173" i="3"/>
  <c r="CX174" i="3"/>
  <c r="AB117" i="1"/>
  <c r="CU158" i="3"/>
  <c r="CV158" i="3"/>
  <c r="U117" i="1" s="1"/>
  <c r="G435" i="7" s="1"/>
  <c r="CX158" i="3"/>
  <c r="CX159" i="3"/>
  <c r="CW160" i="3"/>
  <c r="CX160" i="3"/>
  <c r="CW161" i="3"/>
  <c r="CX161" i="3"/>
  <c r="CW162" i="3"/>
  <c r="CX162" i="3"/>
  <c r="CX163" i="3"/>
  <c r="CX164" i="3"/>
  <c r="CX165" i="3"/>
  <c r="AB116" i="1"/>
  <c r="AB115" i="1"/>
  <c r="AB114" i="1"/>
  <c r="CU127" i="3"/>
  <c r="CV127" i="3"/>
  <c r="U114" i="1" s="1"/>
  <c r="G376" i="7" s="1"/>
  <c r="CX127" i="3"/>
  <c r="CX128" i="3"/>
  <c r="CW129" i="3"/>
  <c r="CX129" i="3"/>
  <c r="CW130" i="3"/>
  <c r="CX130" i="3"/>
  <c r="CW131" i="3"/>
  <c r="CX131" i="3"/>
  <c r="CX132" i="3"/>
  <c r="CX133" i="3"/>
  <c r="CX134" i="3"/>
  <c r="CX135" i="3"/>
  <c r="AB113" i="1"/>
  <c r="CU114" i="3"/>
  <c r="CV114" i="3"/>
  <c r="CX114" i="3"/>
  <c r="CU115" i="3"/>
  <c r="CV115" i="3"/>
  <c r="CX115" i="3"/>
  <c r="CU116" i="3"/>
  <c r="CV116" i="3"/>
  <c r="CX116" i="3"/>
  <c r="CU117" i="3"/>
  <c r="CV117" i="3"/>
  <c r="CX117" i="3"/>
  <c r="CX118" i="3"/>
  <c r="CW119" i="3"/>
  <c r="CX119" i="3"/>
  <c r="CW120" i="3"/>
  <c r="CX120" i="3"/>
  <c r="CW121" i="3"/>
  <c r="CX121" i="3"/>
  <c r="CW122" i="3"/>
  <c r="CX122" i="3"/>
  <c r="CW123" i="3"/>
  <c r="CX123" i="3"/>
  <c r="CX124" i="3"/>
  <c r="CX125" i="3"/>
  <c r="CX126" i="3"/>
  <c r="AB112" i="1"/>
  <c r="AB111" i="1"/>
  <c r="AB110" i="1"/>
  <c r="AB109" i="1"/>
  <c r="AB108" i="1"/>
  <c r="CM60" i="1"/>
  <c r="BD74" i="1"/>
  <c r="CL60" i="1"/>
  <c r="BC74" i="1"/>
  <c r="CK60" i="1"/>
  <c r="BB74" i="1"/>
  <c r="CJ60" i="1"/>
  <c r="BA74" i="1"/>
  <c r="CI60" i="1"/>
  <c r="AZ74" i="1"/>
  <c r="CG60" i="1"/>
  <c r="AX74" i="1"/>
  <c r="CD60" i="1"/>
  <c r="AU74" i="1"/>
  <c r="CB60" i="1"/>
  <c r="AS74" i="1"/>
  <c r="BZ60" i="1"/>
  <c r="AQ74" i="1"/>
  <c r="BY60" i="1"/>
  <c r="AP74" i="1"/>
  <c r="BX60" i="1"/>
  <c r="AO74" i="1"/>
  <c r="AJ60" i="1"/>
  <c r="W74" i="1"/>
  <c r="AG60" i="1"/>
  <c r="T74" i="1"/>
  <c r="AB72" i="1"/>
  <c r="CU54" i="3"/>
  <c r="CV54" i="3"/>
  <c r="U72" i="1" s="1"/>
  <c r="G214" i="7" s="1"/>
  <c r="CX54" i="3"/>
  <c r="CX55" i="3"/>
  <c r="CW56" i="3"/>
  <c r="CX56" i="3"/>
  <c r="CW57" i="3"/>
  <c r="CX57" i="3"/>
  <c r="CW58" i="3"/>
  <c r="CX58" i="3"/>
  <c r="CX59" i="3"/>
  <c r="CX60" i="3"/>
  <c r="CX61" i="3"/>
  <c r="CX62" i="3"/>
  <c r="AB71" i="1"/>
  <c r="CU46" i="3"/>
  <c r="CV46" i="3"/>
  <c r="U71" i="1" s="1"/>
  <c r="CX46" i="3"/>
  <c r="CX47" i="3"/>
  <c r="CW48" i="3"/>
  <c r="CX48" i="3"/>
  <c r="CW49" i="3"/>
  <c r="CX49" i="3"/>
  <c r="CW50" i="3"/>
  <c r="CX50" i="3"/>
  <c r="CX51" i="3"/>
  <c r="CX52" i="3"/>
  <c r="CX53" i="3"/>
  <c r="AB70" i="1"/>
  <c r="AB69" i="1"/>
  <c r="AB68" i="1"/>
  <c r="AB67" i="1"/>
  <c r="AB66" i="1"/>
  <c r="AB65" i="1"/>
  <c r="AB64" i="1"/>
  <c r="AB63" i="1"/>
  <c r="AB62" i="1"/>
  <c r="AH74" i="1" l="1"/>
  <c r="G194" i="7"/>
  <c r="BU626" i="7"/>
  <c r="BV626" i="7" s="1"/>
  <c r="BR626" i="7"/>
  <c r="I626" i="7"/>
  <c r="BU617" i="7"/>
  <c r="BV617" i="7" s="1"/>
  <c r="BR617" i="7"/>
  <c r="I617" i="7"/>
  <c r="BU608" i="7"/>
  <c r="BV608" i="7" s="1"/>
  <c r="BR608" i="7"/>
  <c r="I608" i="7"/>
  <c r="BU599" i="7"/>
  <c r="BV599" i="7" s="1"/>
  <c r="BR599" i="7"/>
  <c r="I599" i="7"/>
  <c r="L641" i="7"/>
  <c r="L725" i="7"/>
  <c r="AN590" i="7"/>
  <c r="K590" i="7"/>
  <c r="L736" i="7"/>
  <c r="L724" i="7"/>
  <c r="L722" i="7" s="1"/>
  <c r="L652" i="7"/>
  <c r="L640" i="7"/>
  <c r="L638" i="7" s="1"/>
  <c r="L587" i="7"/>
  <c r="L704" i="7"/>
  <c r="L702" i="7" s="1"/>
  <c r="L561" i="7"/>
  <c r="L559" i="7" s="1"/>
  <c r="L550" i="7" s="1"/>
  <c r="L573" i="7" s="1"/>
  <c r="L753" i="7"/>
  <c r="L751" i="7" s="1"/>
  <c r="L684" i="7"/>
  <c r="L682" i="7" s="1"/>
  <c r="AO471" i="7"/>
  <c r="L467" i="7"/>
  <c r="L468" i="7"/>
  <c r="AO451" i="7"/>
  <c r="L447" i="7"/>
  <c r="L448" i="7"/>
  <c r="AO432" i="7"/>
  <c r="AN432" i="7"/>
  <c r="K432" i="7"/>
  <c r="I432" i="7" s="1"/>
  <c r="L428" i="7"/>
  <c r="L429" i="7"/>
  <c r="AO410" i="7"/>
  <c r="AN410" i="7"/>
  <c r="K410" i="7"/>
  <c r="I410" i="7" s="1"/>
  <c r="L406" i="7"/>
  <c r="L407" i="7"/>
  <c r="AO393" i="7"/>
  <c r="L389" i="7"/>
  <c r="L390" i="7"/>
  <c r="AO373" i="7"/>
  <c r="L369" i="7"/>
  <c r="L370" i="7"/>
  <c r="AO349" i="7"/>
  <c r="AN349" i="7"/>
  <c r="K349" i="7"/>
  <c r="I349" i="7" s="1"/>
  <c r="L345" i="7"/>
  <c r="L346" i="7"/>
  <c r="AO336" i="7"/>
  <c r="AN336" i="7"/>
  <c r="K336" i="7"/>
  <c r="I336" i="7" s="1"/>
  <c r="L332" i="7"/>
  <c r="L333" i="7"/>
  <c r="AO314" i="7"/>
  <c r="AN314" i="7"/>
  <c r="K314" i="7"/>
  <c r="I314" i="7" s="1"/>
  <c r="L310" i="7"/>
  <c r="L311" i="7"/>
  <c r="AO292" i="7"/>
  <c r="AN292" i="7"/>
  <c r="K292" i="7"/>
  <c r="I292" i="7" s="1"/>
  <c r="L288" i="7"/>
  <c r="L289" i="7"/>
  <c r="AO279" i="7"/>
  <c r="L478" i="7" s="1"/>
  <c r="AN279" i="7"/>
  <c r="K279" i="7"/>
  <c r="I279" i="7" s="1"/>
  <c r="L275" i="7"/>
  <c r="L480" i="7"/>
  <c r="L487" i="7"/>
  <c r="L475" i="7"/>
  <c r="L276" i="7"/>
  <c r="AO231" i="7"/>
  <c r="L227" i="7"/>
  <c r="L228" i="7"/>
  <c r="AO210" i="7"/>
  <c r="L206" i="7"/>
  <c r="L207" i="7"/>
  <c r="AO190" i="7"/>
  <c r="AN190" i="7"/>
  <c r="K190" i="7"/>
  <c r="I190" i="7" s="1"/>
  <c r="L186" i="7"/>
  <c r="L187" i="7"/>
  <c r="AO167" i="7"/>
  <c r="AN167" i="7"/>
  <c r="K167" i="7"/>
  <c r="I167" i="7" s="1"/>
  <c r="L163" i="7"/>
  <c r="L164" i="7"/>
  <c r="AO150" i="7"/>
  <c r="L698" i="7" s="1"/>
  <c r="AN150" i="7"/>
  <c r="K150" i="7"/>
  <c r="I150" i="7" s="1"/>
  <c r="L146" i="7"/>
  <c r="L700" i="7"/>
  <c r="L707" i="7"/>
  <c r="L695" i="7"/>
  <c r="L147" i="7"/>
  <c r="AO136" i="7"/>
  <c r="AN136" i="7"/>
  <c r="K136" i="7"/>
  <c r="I136" i="7" s="1"/>
  <c r="L132" i="7"/>
  <c r="L133" i="7"/>
  <c r="AO124" i="7"/>
  <c r="AN124" i="7"/>
  <c r="K124" i="7"/>
  <c r="I124" i="7" s="1"/>
  <c r="L120" i="7"/>
  <c r="L121" i="7"/>
  <c r="AO110" i="7"/>
  <c r="AN110" i="7"/>
  <c r="K110" i="7"/>
  <c r="I110" i="7" s="1"/>
  <c r="L106" i="7"/>
  <c r="L107" i="7"/>
  <c r="AO96" i="7"/>
  <c r="AN96" i="7"/>
  <c r="K96" i="7"/>
  <c r="I96" i="7" s="1"/>
  <c r="L92" i="7"/>
  <c r="L93" i="7"/>
  <c r="AO83" i="7"/>
  <c r="AN83" i="7"/>
  <c r="K83" i="7"/>
  <c r="I83" i="7" s="1"/>
  <c r="L79" i="7"/>
  <c r="L80" i="7"/>
  <c r="AO68" i="7"/>
  <c r="AN68" i="7"/>
  <c r="K68" i="7"/>
  <c r="I68" i="7" s="1"/>
  <c r="L64" i="7"/>
  <c r="K41" i="7"/>
  <c r="L749" i="7"/>
  <c r="L680" i="7"/>
  <c r="L240" i="7"/>
  <c r="K40" i="7"/>
  <c r="L756" i="7"/>
  <c r="L744" i="7"/>
  <c r="L687" i="7"/>
  <c r="L675" i="7"/>
  <c r="L247" i="7"/>
  <c r="L235" i="7"/>
  <c r="L65" i="7"/>
  <c r="DF53" i="3"/>
  <c r="DJ53" i="3" s="1"/>
  <c r="DG53" i="3"/>
  <c r="DH53" i="3"/>
  <c r="DI53" i="3"/>
  <c r="DF52" i="3"/>
  <c r="DJ52" i="3" s="1"/>
  <c r="DG52" i="3"/>
  <c r="DH52" i="3"/>
  <c r="DI52" i="3"/>
  <c r="DF51" i="3"/>
  <c r="DJ51" i="3" s="1"/>
  <c r="DG51" i="3"/>
  <c r="DH51" i="3"/>
  <c r="DI51" i="3"/>
  <c r="DF50" i="3"/>
  <c r="DG50" i="3"/>
  <c r="DH50" i="3"/>
  <c r="DI50" i="3"/>
  <c r="DF49" i="3"/>
  <c r="DG49" i="3"/>
  <c r="DH49" i="3"/>
  <c r="DI49" i="3"/>
  <c r="DF48" i="3"/>
  <c r="DG48" i="3"/>
  <c r="DH48" i="3"/>
  <c r="DI48" i="3"/>
  <c r="V71" i="1"/>
  <c r="G197" i="7" s="1"/>
  <c r="DF47" i="3"/>
  <c r="DG47" i="3"/>
  <c r="DH47" i="3"/>
  <c r="DI47" i="3"/>
  <c r="DJ47" i="3" s="1"/>
  <c r="DF46" i="3"/>
  <c r="P71" i="1" s="1"/>
  <c r="DG46" i="3"/>
  <c r="Q71" i="1" s="1"/>
  <c r="DH46" i="3"/>
  <c r="R71" i="1" s="1"/>
  <c r="DI46" i="3"/>
  <c r="AH60" i="1"/>
  <c r="U74" i="1"/>
  <c r="DF62" i="3"/>
  <c r="DJ62" i="3" s="1"/>
  <c r="DG62" i="3"/>
  <c r="DH62" i="3"/>
  <c r="DI62" i="3"/>
  <c r="DF61" i="3"/>
  <c r="DJ61" i="3" s="1"/>
  <c r="DG61" i="3"/>
  <c r="DH61" i="3"/>
  <c r="DI61" i="3"/>
  <c r="DF60" i="3"/>
  <c r="DJ60" i="3" s="1"/>
  <c r="DG60" i="3"/>
  <c r="DH60" i="3"/>
  <c r="DI60" i="3"/>
  <c r="DF59" i="3"/>
  <c r="DJ59" i="3" s="1"/>
  <c r="DG59" i="3"/>
  <c r="DH59" i="3"/>
  <c r="DI59" i="3"/>
  <c r="DF58" i="3"/>
  <c r="DG58" i="3"/>
  <c r="DH58" i="3"/>
  <c r="DI58" i="3"/>
  <c r="DF57" i="3"/>
  <c r="DG57" i="3"/>
  <c r="DH57" i="3"/>
  <c r="DI57" i="3"/>
  <c r="DF56" i="3"/>
  <c r="DG56" i="3"/>
  <c r="DH56" i="3"/>
  <c r="DI56" i="3"/>
  <c r="V72" i="1"/>
  <c r="G217" i="7" s="1"/>
  <c r="DF55" i="3"/>
  <c r="DG55" i="3"/>
  <c r="DH55" i="3"/>
  <c r="DI55" i="3"/>
  <c r="DJ55" i="3" s="1"/>
  <c r="DF54" i="3"/>
  <c r="P72" i="1" s="1"/>
  <c r="DG54" i="3"/>
  <c r="Q72" i="1" s="1"/>
  <c r="DH54" i="3"/>
  <c r="R72" i="1" s="1"/>
  <c r="DI54" i="3"/>
  <c r="T60" i="1"/>
  <c r="F95" i="1"/>
  <c r="T243" i="1"/>
  <c r="W60" i="1"/>
  <c r="F98" i="1"/>
  <c r="W243" i="1"/>
  <c r="AO60" i="1"/>
  <c r="F78" i="1"/>
  <c r="AO243" i="1"/>
  <c r="AP60" i="1"/>
  <c r="F83" i="1"/>
  <c r="AP243" i="1"/>
  <c r="AQ60" i="1"/>
  <c r="F84" i="1"/>
  <c r="AQ243" i="1"/>
  <c r="AS60" i="1"/>
  <c r="F91" i="1"/>
  <c r="AU60" i="1"/>
  <c r="F93" i="1"/>
  <c r="AX60" i="1"/>
  <c r="F81" i="1"/>
  <c r="AX243" i="1"/>
  <c r="AZ60" i="1"/>
  <c r="F85" i="1"/>
  <c r="AZ243" i="1"/>
  <c r="BA60" i="1"/>
  <c r="F94" i="1"/>
  <c r="BA243" i="1"/>
  <c r="BB60" i="1"/>
  <c r="F87" i="1"/>
  <c r="BB243" i="1"/>
  <c r="BC60" i="1"/>
  <c r="F90" i="1"/>
  <c r="BC243" i="1"/>
  <c r="BD60" i="1"/>
  <c r="F99" i="1"/>
  <c r="BD243" i="1"/>
  <c r="DF126" i="3"/>
  <c r="DJ126" i="3" s="1"/>
  <c r="DG126" i="3"/>
  <c r="DH126" i="3"/>
  <c r="DI126" i="3"/>
  <c r="DF125" i="3"/>
  <c r="DJ125" i="3" s="1"/>
  <c r="DG125" i="3"/>
  <c r="DH125" i="3"/>
  <c r="DI125" i="3"/>
  <c r="DF124" i="3"/>
  <c r="DJ124" i="3" s="1"/>
  <c r="DG124" i="3"/>
  <c r="DH124" i="3"/>
  <c r="DI124" i="3"/>
  <c r="DF123" i="3"/>
  <c r="DG123" i="3"/>
  <c r="DH123" i="3"/>
  <c r="DI123" i="3"/>
  <c r="DF122" i="3"/>
  <c r="DG122" i="3"/>
  <c r="DH122" i="3"/>
  <c r="DI122" i="3"/>
  <c r="DF121" i="3"/>
  <c r="DG121" i="3"/>
  <c r="DH121" i="3"/>
  <c r="DI121" i="3"/>
  <c r="DF120" i="3"/>
  <c r="DG120" i="3"/>
  <c r="DH120" i="3"/>
  <c r="DI120" i="3"/>
  <c r="DF119" i="3"/>
  <c r="DG119" i="3"/>
  <c r="DH119" i="3"/>
  <c r="DI119" i="3"/>
  <c r="V113" i="1"/>
  <c r="G358" i="7" s="1"/>
  <c r="DF118" i="3"/>
  <c r="DG118" i="3"/>
  <c r="DH118" i="3"/>
  <c r="DI118" i="3"/>
  <c r="DJ118" i="3" s="1"/>
  <c r="DF117" i="3"/>
  <c r="DG117" i="3"/>
  <c r="DH117" i="3"/>
  <c r="DI117" i="3"/>
  <c r="DJ117" i="3" s="1"/>
  <c r="DF116" i="3"/>
  <c r="DG116" i="3"/>
  <c r="DH116" i="3"/>
  <c r="DI116" i="3"/>
  <c r="DJ116" i="3" s="1"/>
  <c r="DF115" i="3"/>
  <c r="DG115" i="3"/>
  <c r="DH115" i="3"/>
  <c r="DI115" i="3"/>
  <c r="DJ115" i="3" s="1"/>
  <c r="DF114" i="3"/>
  <c r="P113" i="1" s="1"/>
  <c r="DG114" i="3"/>
  <c r="Q113" i="1" s="1"/>
  <c r="DH114" i="3"/>
  <c r="R113" i="1" s="1"/>
  <c r="DI114" i="3"/>
  <c r="U113" i="1"/>
  <c r="DF135" i="3"/>
  <c r="DJ135" i="3" s="1"/>
  <c r="DG135" i="3"/>
  <c r="DH135" i="3"/>
  <c r="DI135" i="3"/>
  <c r="DF134" i="3"/>
  <c r="DJ134" i="3" s="1"/>
  <c r="DG134" i="3"/>
  <c r="DH134" i="3"/>
  <c r="DI134" i="3"/>
  <c r="DF133" i="3"/>
  <c r="DJ133" i="3" s="1"/>
  <c r="DG133" i="3"/>
  <c r="DH133" i="3"/>
  <c r="DI133" i="3"/>
  <c r="DF132" i="3"/>
  <c r="DJ132" i="3" s="1"/>
  <c r="DG132" i="3"/>
  <c r="DH132" i="3"/>
  <c r="DI132" i="3"/>
  <c r="DF131" i="3"/>
  <c r="DG131" i="3"/>
  <c r="DH131" i="3"/>
  <c r="DI131" i="3"/>
  <c r="DF130" i="3"/>
  <c r="DG130" i="3"/>
  <c r="DH130" i="3"/>
  <c r="DI130" i="3"/>
  <c r="DF129" i="3"/>
  <c r="DG129" i="3"/>
  <c r="DH129" i="3"/>
  <c r="DI129" i="3"/>
  <c r="V114" i="1"/>
  <c r="G379" i="7" s="1"/>
  <c r="DF128" i="3"/>
  <c r="DG128" i="3"/>
  <c r="DH128" i="3"/>
  <c r="DI128" i="3"/>
  <c r="DJ128" i="3" s="1"/>
  <c r="DF127" i="3"/>
  <c r="P114" i="1" s="1"/>
  <c r="DG127" i="3"/>
  <c r="Q114" i="1" s="1"/>
  <c r="DH127" i="3"/>
  <c r="R114" i="1" s="1"/>
  <c r="DI127" i="3"/>
  <c r="DF165" i="3"/>
  <c r="DJ165" i="3" s="1"/>
  <c r="DG165" i="3"/>
  <c r="DH165" i="3"/>
  <c r="DI165" i="3"/>
  <c r="DF164" i="3"/>
  <c r="DJ164" i="3" s="1"/>
  <c r="DG164" i="3"/>
  <c r="DH164" i="3"/>
  <c r="DI164" i="3"/>
  <c r="DF163" i="3"/>
  <c r="DJ163" i="3" s="1"/>
  <c r="DG163" i="3"/>
  <c r="DH163" i="3"/>
  <c r="DI163" i="3"/>
  <c r="DF162" i="3"/>
  <c r="DG162" i="3"/>
  <c r="DH162" i="3"/>
  <c r="DI162" i="3"/>
  <c r="DF161" i="3"/>
  <c r="DG161" i="3"/>
  <c r="DH161" i="3"/>
  <c r="DI161" i="3"/>
  <c r="DF160" i="3"/>
  <c r="DG160" i="3"/>
  <c r="DH160" i="3"/>
  <c r="DI160" i="3"/>
  <c r="V117" i="1"/>
  <c r="G438" i="7" s="1"/>
  <c r="DF159" i="3"/>
  <c r="DG159" i="3"/>
  <c r="DH159" i="3"/>
  <c r="DI159" i="3"/>
  <c r="DJ159" i="3" s="1"/>
  <c r="DF158" i="3"/>
  <c r="P117" i="1" s="1"/>
  <c r="DG158" i="3"/>
  <c r="Q117" i="1" s="1"/>
  <c r="DH158" i="3"/>
  <c r="R117" i="1" s="1"/>
  <c r="DI158" i="3"/>
  <c r="DF174" i="3"/>
  <c r="DJ174" i="3" s="1"/>
  <c r="DG174" i="3"/>
  <c r="DH174" i="3"/>
  <c r="DI174" i="3"/>
  <c r="DF173" i="3"/>
  <c r="DJ173" i="3" s="1"/>
  <c r="DG173" i="3"/>
  <c r="DH173" i="3"/>
  <c r="DI173" i="3"/>
  <c r="DF172" i="3"/>
  <c r="DJ172" i="3" s="1"/>
  <c r="DG172" i="3"/>
  <c r="DH172" i="3"/>
  <c r="DI172" i="3"/>
  <c r="DF171" i="3"/>
  <c r="DJ171" i="3" s="1"/>
  <c r="DG171" i="3"/>
  <c r="DH171" i="3"/>
  <c r="DI171" i="3"/>
  <c r="DF170" i="3"/>
  <c r="DG170" i="3"/>
  <c r="DH170" i="3"/>
  <c r="DI170" i="3"/>
  <c r="DF169" i="3"/>
  <c r="DG169" i="3"/>
  <c r="DH169" i="3"/>
  <c r="DI169" i="3"/>
  <c r="DF168" i="3"/>
  <c r="DG168" i="3"/>
  <c r="DH168" i="3"/>
  <c r="DI168" i="3"/>
  <c r="V118" i="1"/>
  <c r="G457" i="7" s="1"/>
  <c r="DF167" i="3"/>
  <c r="DG167" i="3"/>
  <c r="DH167" i="3"/>
  <c r="DI167" i="3"/>
  <c r="DJ167" i="3" s="1"/>
  <c r="DF166" i="3"/>
  <c r="P118" i="1" s="1"/>
  <c r="DG166" i="3"/>
  <c r="Q118" i="1" s="1"/>
  <c r="DH166" i="3"/>
  <c r="R118" i="1" s="1"/>
  <c r="DI166" i="3"/>
  <c r="T106" i="1"/>
  <c r="F141" i="1"/>
  <c r="W106" i="1"/>
  <c r="F144" i="1"/>
  <c r="AO106" i="1"/>
  <c r="F124" i="1"/>
  <c r="AP106" i="1"/>
  <c r="F129" i="1"/>
  <c r="AQ106" i="1"/>
  <c r="F130" i="1"/>
  <c r="AU106" i="1"/>
  <c r="F139" i="1"/>
  <c r="AX106" i="1"/>
  <c r="F127" i="1"/>
  <c r="AZ106" i="1"/>
  <c r="F131" i="1"/>
  <c r="BA106" i="1"/>
  <c r="F140" i="1"/>
  <c r="BB106" i="1"/>
  <c r="F133" i="1"/>
  <c r="BC106" i="1"/>
  <c r="F136" i="1"/>
  <c r="BD106" i="1"/>
  <c r="F145" i="1"/>
  <c r="GM154" i="1"/>
  <c r="AB172" i="1"/>
  <c r="CC152" i="1"/>
  <c r="AT172" i="1"/>
  <c r="P152" i="1"/>
  <c r="F175" i="1"/>
  <c r="Q152" i="1"/>
  <c r="F184" i="1"/>
  <c r="R152" i="1"/>
  <c r="F186" i="1"/>
  <c r="S152" i="1"/>
  <c r="F187" i="1"/>
  <c r="T152" i="1"/>
  <c r="F193" i="1"/>
  <c r="U152" i="1"/>
  <c r="F194" i="1"/>
  <c r="V152" i="1"/>
  <c r="F195" i="1"/>
  <c r="W152" i="1"/>
  <c r="F196" i="1"/>
  <c r="X152" i="1"/>
  <c r="F198" i="1"/>
  <c r="Y152" i="1"/>
  <c r="F199" i="1"/>
  <c r="AO152" i="1"/>
  <c r="F176" i="1"/>
  <c r="AP152" i="1"/>
  <c r="F181" i="1"/>
  <c r="AQ152" i="1"/>
  <c r="F182" i="1"/>
  <c r="AU152" i="1"/>
  <c r="F191" i="1"/>
  <c r="AV152" i="1"/>
  <c r="F177" i="1"/>
  <c r="AW152" i="1"/>
  <c r="F178" i="1"/>
  <c r="AX152" i="1"/>
  <c r="F179" i="1"/>
  <c r="AY152" i="1"/>
  <c r="F180" i="1"/>
  <c r="AZ152" i="1"/>
  <c r="F183" i="1"/>
  <c r="BA152" i="1"/>
  <c r="F192" i="1"/>
  <c r="BB152" i="1"/>
  <c r="F185" i="1"/>
  <c r="BC152" i="1"/>
  <c r="F188" i="1"/>
  <c r="BD152" i="1"/>
  <c r="F197" i="1"/>
  <c r="DF186" i="3"/>
  <c r="DG186" i="3"/>
  <c r="DH186" i="3"/>
  <c r="DI186" i="3"/>
  <c r="DJ186" i="3" s="1"/>
  <c r="DF185" i="3"/>
  <c r="P211" i="1" s="1"/>
  <c r="DG185" i="3"/>
  <c r="Q211" i="1" s="1"/>
  <c r="AD213" i="1" s="1"/>
  <c r="DH185" i="3"/>
  <c r="R211" i="1" s="1"/>
  <c r="AE213" i="1" s="1"/>
  <c r="DI185" i="3"/>
  <c r="U211" i="1"/>
  <c r="T204" i="1"/>
  <c r="F234" i="1"/>
  <c r="V204" i="1"/>
  <c r="F236" i="1"/>
  <c r="G666" i="7" s="1"/>
  <c r="W204" i="1"/>
  <c r="F237" i="1"/>
  <c r="AO204" i="1"/>
  <c r="F217" i="1"/>
  <c r="AP204" i="1"/>
  <c r="F222" i="1"/>
  <c r="AQ204" i="1"/>
  <c r="F223" i="1"/>
  <c r="AS204" i="1"/>
  <c r="F230" i="1"/>
  <c r="AT204" i="1"/>
  <c r="F231" i="1"/>
  <c r="AX204" i="1"/>
  <c r="F220" i="1"/>
  <c r="AZ204" i="1"/>
  <c r="F224" i="1"/>
  <c r="BA204" i="1"/>
  <c r="F233" i="1"/>
  <c r="BB204" i="1"/>
  <c r="F226" i="1"/>
  <c r="BC204" i="1"/>
  <c r="F229" i="1"/>
  <c r="BD204" i="1"/>
  <c r="F238" i="1"/>
  <c r="AH213" i="1" l="1"/>
  <c r="G629" i="7"/>
  <c r="AH120" i="1"/>
  <c r="G352" i="7"/>
  <c r="L747" i="7"/>
  <c r="L745" i="7" s="1"/>
  <c r="L742" i="7" s="1"/>
  <c r="L678" i="7"/>
  <c r="L676" i="7" s="1"/>
  <c r="L673" i="7" s="1"/>
  <c r="L238" i="7"/>
  <c r="L236" i="7" s="1"/>
  <c r="L233" i="7" s="1"/>
  <c r="L696" i="7"/>
  <c r="L693" i="7" s="1"/>
  <c r="L476" i="7"/>
  <c r="L473" i="7" s="1"/>
  <c r="BU590" i="7"/>
  <c r="BV590" i="7" s="1"/>
  <c r="BR590" i="7"/>
  <c r="I590" i="7"/>
  <c r="AH204" i="1"/>
  <c r="U213" i="1"/>
  <c r="DJ185" i="3"/>
  <c r="S211" i="1"/>
  <c r="AE204" i="1"/>
  <c r="R213" i="1"/>
  <c r="AD204" i="1"/>
  <c r="Q213" i="1"/>
  <c r="CP211" i="1"/>
  <c r="O211" i="1" s="1"/>
  <c r="AC213" i="1"/>
  <c r="AT152" i="1"/>
  <c r="F190" i="1"/>
  <c r="AB152" i="1"/>
  <c r="O172" i="1"/>
  <c r="GN154" i="1"/>
  <c r="CB172" i="1" s="1"/>
  <c r="CA172" i="1"/>
  <c r="DJ166" i="3"/>
  <c r="S118" i="1"/>
  <c r="CP118" i="1"/>
  <c r="O118" i="1" s="1"/>
  <c r="DJ168" i="3"/>
  <c r="DJ169" i="3"/>
  <c r="DJ170" i="3"/>
  <c r="DJ158" i="3"/>
  <c r="S117" i="1"/>
  <c r="CP117" i="1"/>
  <c r="O117" i="1" s="1"/>
  <c r="DJ160" i="3"/>
  <c r="DJ161" i="3"/>
  <c r="DJ162" i="3"/>
  <c r="DJ127" i="3"/>
  <c r="S114" i="1"/>
  <c r="CP114" i="1"/>
  <c r="O114" i="1" s="1"/>
  <c r="DJ129" i="3"/>
  <c r="DJ130" i="3"/>
  <c r="DJ131" i="3"/>
  <c r="AH106" i="1"/>
  <c r="U120" i="1"/>
  <c r="DJ114" i="3"/>
  <c r="S113" i="1"/>
  <c r="AE120" i="1"/>
  <c r="AD120" i="1"/>
  <c r="CP113" i="1"/>
  <c r="O113" i="1" s="1"/>
  <c r="AC120" i="1"/>
  <c r="AI120" i="1"/>
  <c r="DJ119" i="3"/>
  <c r="DJ120" i="3"/>
  <c r="DJ121" i="3"/>
  <c r="DJ122" i="3"/>
  <c r="DJ123" i="3"/>
  <c r="BD56" i="1"/>
  <c r="F268" i="1"/>
  <c r="BD276" i="1"/>
  <c r="BC56" i="1"/>
  <c r="F259" i="1"/>
  <c r="BC276" i="1"/>
  <c r="BB56" i="1"/>
  <c r="F256" i="1"/>
  <c r="BB276" i="1"/>
  <c r="BA56" i="1"/>
  <c r="F263" i="1"/>
  <c r="BA276" i="1"/>
  <c r="AZ56" i="1"/>
  <c r="F254" i="1"/>
  <c r="AZ276" i="1"/>
  <c r="AX56" i="1"/>
  <c r="F250" i="1"/>
  <c r="AX276" i="1"/>
  <c r="AQ56" i="1"/>
  <c r="F253" i="1"/>
  <c r="AQ276" i="1"/>
  <c r="AP56" i="1"/>
  <c r="F252" i="1"/>
  <c r="AP276" i="1"/>
  <c r="AO56" i="1"/>
  <c r="F247" i="1"/>
  <c r="AO276" i="1"/>
  <c r="W56" i="1"/>
  <c r="F267" i="1"/>
  <c r="W276" i="1"/>
  <c r="T56" i="1"/>
  <c r="F264" i="1"/>
  <c r="T276" i="1"/>
  <c r="DJ54" i="3"/>
  <c r="S72" i="1"/>
  <c r="CP72" i="1"/>
  <c r="O72" i="1" s="1"/>
  <c r="DJ56" i="3"/>
  <c r="DJ57" i="3"/>
  <c r="DJ58" i="3"/>
  <c r="U60" i="1"/>
  <c r="F96" i="1"/>
  <c r="G260" i="7" s="1"/>
  <c r="U243" i="1"/>
  <c r="DJ46" i="3"/>
  <c r="S71" i="1"/>
  <c r="AE74" i="1"/>
  <c r="AD74" i="1"/>
  <c r="CP71" i="1"/>
  <c r="O71" i="1" s="1"/>
  <c r="AC74" i="1"/>
  <c r="AI74" i="1"/>
  <c r="DJ48" i="3"/>
  <c r="DJ49" i="3"/>
  <c r="DJ50" i="3"/>
  <c r="G16" i="2" l="1"/>
  <c r="G18" i="2" s="1"/>
  <c r="C44" i="7"/>
  <c r="AI60" i="1"/>
  <c r="V74" i="1"/>
  <c r="AC60" i="1"/>
  <c r="P74" i="1"/>
  <c r="CE74" i="1"/>
  <c r="CF74" i="1"/>
  <c r="CH74" i="1"/>
  <c r="AB74" i="1"/>
  <c r="AD60" i="1"/>
  <c r="Q74" i="1"/>
  <c r="AE60" i="1"/>
  <c r="R74" i="1"/>
  <c r="CY71" i="1"/>
  <c r="X71" i="1" s="1"/>
  <c r="AZ210" i="7" s="1"/>
  <c r="CZ71" i="1"/>
  <c r="Y71" i="1" s="1"/>
  <c r="BA210" i="7" s="1"/>
  <c r="AF74" i="1"/>
  <c r="U56" i="1"/>
  <c r="F265" i="1"/>
  <c r="U276" i="1"/>
  <c r="CY72" i="1"/>
  <c r="X72" i="1" s="1"/>
  <c r="AZ231" i="7" s="1"/>
  <c r="L229" i="7" s="1"/>
  <c r="CZ72" i="1"/>
  <c r="Y72" i="1" s="1"/>
  <c r="BA231" i="7" s="1"/>
  <c r="L230" i="7" s="1"/>
  <c r="T18" i="1"/>
  <c r="F297" i="1"/>
  <c r="W18" i="1"/>
  <c r="F300" i="1"/>
  <c r="AO18" i="1"/>
  <c r="F280" i="1"/>
  <c r="AP18" i="1"/>
  <c r="F285" i="1"/>
  <c r="AQ18" i="1"/>
  <c r="F286" i="1"/>
  <c r="AX18" i="1"/>
  <c r="F283" i="1"/>
  <c r="AZ18" i="1"/>
  <c r="F287" i="1"/>
  <c r="BA18" i="1"/>
  <c r="F296" i="1"/>
  <c r="BB18" i="1"/>
  <c r="F289" i="1"/>
  <c r="BC18" i="1"/>
  <c r="F292" i="1"/>
  <c r="BD18" i="1"/>
  <c r="F301" i="1"/>
  <c r="AI106" i="1"/>
  <c r="V120" i="1"/>
  <c r="AC106" i="1"/>
  <c r="P120" i="1"/>
  <c r="CE120" i="1"/>
  <c r="CF120" i="1"/>
  <c r="CH120" i="1"/>
  <c r="AB120" i="1"/>
  <c r="AD106" i="1"/>
  <c r="Q120" i="1"/>
  <c r="AE106" i="1"/>
  <c r="R120" i="1"/>
  <c r="CY113" i="1"/>
  <c r="X113" i="1" s="1"/>
  <c r="AZ373" i="7" s="1"/>
  <c r="CZ113" i="1"/>
  <c r="Y113" i="1" s="1"/>
  <c r="BA373" i="7" s="1"/>
  <c r="AF120" i="1"/>
  <c r="U106" i="1"/>
  <c r="F142" i="1"/>
  <c r="G500" i="7" s="1"/>
  <c r="CY114" i="1"/>
  <c r="X114" i="1" s="1"/>
  <c r="AZ393" i="7" s="1"/>
  <c r="L391" i="7" s="1"/>
  <c r="CZ114" i="1"/>
  <c r="Y114" i="1" s="1"/>
  <c r="BA393" i="7" s="1"/>
  <c r="L392" i="7" s="1"/>
  <c r="CY117" i="1"/>
  <c r="X117" i="1" s="1"/>
  <c r="AZ451" i="7" s="1"/>
  <c r="L449" i="7" s="1"/>
  <c r="CZ117" i="1"/>
  <c r="Y117" i="1" s="1"/>
  <c r="BA451" i="7" s="1"/>
  <c r="L450" i="7" s="1"/>
  <c r="CY118" i="1"/>
  <c r="X118" i="1" s="1"/>
  <c r="AZ471" i="7" s="1"/>
  <c r="L469" i="7" s="1"/>
  <c r="CZ118" i="1"/>
  <c r="Y118" i="1" s="1"/>
  <c r="BA471" i="7" s="1"/>
  <c r="L470" i="7" s="1"/>
  <c r="CA152" i="1"/>
  <c r="AR172" i="1"/>
  <c r="CB152" i="1"/>
  <c r="AS172" i="1"/>
  <c r="O152" i="1"/>
  <c r="F174" i="1"/>
  <c r="AC204" i="1"/>
  <c r="P213" i="1"/>
  <c r="CE213" i="1"/>
  <c r="CF213" i="1"/>
  <c r="CH213" i="1"/>
  <c r="AB213" i="1"/>
  <c r="Q204" i="1"/>
  <c r="F225" i="1"/>
  <c r="R204" i="1"/>
  <c r="F227" i="1"/>
  <c r="CY211" i="1"/>
  <c r="X211" i="1" s="1"/>
  <c r="AZ636" i="7" s="1"/>
  <c r="CZ211" i="1"/>
  <c r="Y211" i="1" s="1"/>
  <c r="AF213" i="1"/>
  <c r="U204" i="1"/>
  <c r="F235" i="1"/>
  <c r="G665" i="7" s="1"/>
  <c r="AL213" i="1" l="1"/>
  <c r="BA636" i="7"/>
  <c r="L634" i="7"/>
  <c r="L737" i="7"/>
  <c r="L653" i="7"/>
  <c r="AN471" i="7"/>
  <c r="K471" i="7"/>
  <c r="I471" i="7" s="1"/>
  <c r="AN451" i="7"/>
  <c r="K451" i="7"/>
  <c r="I451" i="7" s="1"/>
  <c r="AN393" i="7"/>
  <c r="K393" i="7"/>
  <c r="I393" i="7" s="1"/>
  <c r="L372" i="7"/>
  <c r="L689" i="7"/>
  <c r="L489" i="7"/>
  <c r="L371" i="7"/>
  <c r="L688" i="7"/>
  <c r="L671" i="7" s="1"/>
  <c r="L488" i="7"/>
  <c r="L496" i="7" s="1"/>
  <c r="AN231" i="7"/>
  <c r="K231" i="7"/>
  <c r="I231" i="7" s="1"/>
  <c r="K42" i="7"/>
  <c r="G767" i="7"/>
  <c r="L209" i="7"/>
  <c r="L758" i="7"/>
  <c r="L249" i="7"/>
  <c r="L709" i="7"/>
  <c r="L208" i="7"/>
  <c r="L757" i="7"/>
  <c r="L248" i="7"/>
  <c r="L256" i="7" s="1"/>
  <c r="L708" i="7"/>
  <c r="L691" i="7" s="1"/>
  <c r="AF204" i="1"/>
  <c r="S213" i="1"/>
  <c r="AL204" i="1"/>
  <c r="Y213" i="1"/>
  <c r="AK213" i="1"/>
  <c r="GM211" i="1"/>
  <c r="AB204" i="1"/>
  <c r="O213" i="1"/>
  <c r="CH204" i="1"/>
  <c r="AY213" i="1"/>
  <c r="CF204" i="1"/>
  <c r="AW213" i="1"/>
  <c r="CE204" i="1"/>
  <c r="AV213" i="1"/>
  <c r="P204" i="1"/>
  <c r="F216" i="1"/>
  <c r="AS152" i="1"/>
  <c r="F189" i="1"/>
  <c r="AR152" i="1"/>
  <c r="F200" i="1"/>
  <c r="GM118" i="1"/>
  <c r="GO118" i="1" s="1"/>
  <c r="GM117" i="1"/>
  <c r="GO117" i="1" s="1"/>
  <c r="GM114" i="1"/>
  <c r="GO114" i="1" s="1"/>
  <c r="CC120" i="1" s="1"/>
  <c r="AF106" i="1"/>
  <c r="S120" i="1"/>
  <c r="AL120" i="1"/>
  <c r="AK120" i="1"/>
  <c r="GM113" i="1"/>
  <c r="R106" i="1"/>
  <c r="F134" i="1"/>
  <c r="Q106" i="1"/>
  <c r="F132" i="1"/>
  <c r="AB106" i="1"/>
  <c r="O120" i="1"/>
  <c r="CH106" i="1"/>
  <c r="AY120" i="1"/>
  <c r="CF106" i="1"/>
  <c r="AW120" i="1"/>
  <c r="CE106" i="1"/>
  <c r="AV120" i="1"/>
  <c r="P106" i="1"/>
  <c r="F123" i="1"/>
  <c r="V106" i="1"/>
  <c r="F143" i="1"/>
  <c r="G501" i="7" s="1"/>
  <c r="GM72" i="1"/>
  <c r="GO72" i="1" s="1"/>
  <c r="U18" i="1"/>
  <c r="F298" i="1"/>
  <c r="AF60" i="1"/>
  <c r="S74" i="1"/>
  <c r="AL74" i="1"/>
  <c r="AK74" i="1"/>
  <c r="GM71" i="1"/>
  <c r="R60" i="1"/>
  <c r="F88" i="1"/>
  <c r="R243" i="1"/>
  <c r="Q60" i="1"/>
  <c r="F86" i="1"/>
  <c r="Q243" i="1"/>
  <c r="AB60" i="1"/>
  <c r="O74" i="1"/>
  <c r="CH60" i="1"/>
  <c r="AY74" i="1"/>
  <c r="CF60" i="1"/>
  <c r="AW74" i="1"/>
  <c r="CE60" i="1"/>
  <c r="AV74" i="1"/>
  <c r="P60" i="1"/>
  <c r="F77" i="1"/>
  <c r="P243" i="1"/>
  <c r="V60" i="1"/>
  <c r="F97" i="1"/>
  <c r="G261" i="7" s="1"/>
  <c r="V243" i="1"/>
  <c r="AN210" i="7" l="1"/>
  <c r="K210" i="7"/>
  <c r="I210" i="7" s="1"/>
  <c r="AN373" i="7"/>
  <c r="K373" i="7"/>
  <c r="I373" i="7" s="1"/>
  <c r="L635" i="7"/>
  <c r="L738" i="7"/>
  <c r="L654" i="7"/>
  <c r="L661" i="7" s="1"/>
  <c r="V56" i="1"/>
  <c r="F266" i="1"/>
  <c r="V276" i="1"/>
  <c r="P56" i="1"/>
  <c r="F246" i="1"/>
  <c r="P276" i="1"/>
  <c r="AV60" i="1"/>
  <c r="F79" i="1"/>
  <c r="AV243" i="1"/>
  <c r="AW60" i="1"/>
  <c r="F80" i="1"/>
  <c r="AW243" i="1"/>
  <c r="AY60" i="1"/>
  <c r="F82" i="1"/>
  <c r="AY243" i="1"/>
  <c r="O60" i="1"/>
  <c r="F76" i="1"/>
  <c r="O243" i="1"/>
  <c r="Q56" i="1"/>
  <c r="F255" i="1"/>
  <c r="Q276" i="1"/>
  <c r="R56" i="1"/>
  <c r="F257" i="1"/>
  <c r="R276" i="1"/>
  <c r="GO71" i="1"/>
  <c r="CC74" i="1" s="1"/>
  <c r="CA74" i="1"/>
  <c r="AK60" i="1"/>
  <c r="X74" i="1"/>
  <c r="AL60" i="1"/>
  <c r="Y74" i="1"/>
  <c r="S60" i="1"/>
  <c r="F89" i="1"/>
  <c r="S243" i="1"/>
  <c r="AV106" i="1"/>
  <c r="F125" i="1"/>
  <c r="AW106" i="1"/>
  <c r="F126" i="1"/>
  <c r="AY106" i="1"/>
  <c r="F128" i="1"/>
  <c r="O106" i="1"/>
  <c r="F122" i="1"/>
  <c r="GN113" i="1"/>
  <c r="CB120" i="1" s="1"/>
  <c r="CA120" i="1"/>
  <c r="AK106" i="1"/>
  <c r="X120" i="1"/>
  <c r="AL106" i="1"/>
  <c r="Y120" i="1"/>
  <c r="S106" i="1"/>
  <c r="F135" i="1"/>
  <c r="CC106" i="1"/>
  <c r="AT120" i="1"/>
  <c r="AV204" i="1"/>
  <c r="F218" i="1"/>
  <c r="AW204" i="1"/>
  <c r="F219" i="1"/>
  <c r="AY204" i="1"/>
  <c r="F221" i="1"/>
  <c r="O204" i="1"/>
  <c r="F215" i="1"/>
  <c r="GP211" i="1"/>
  <c r="CD213" i="1" s="1"/>
  <c r="CA213" i="1"/>
  <c r="AK204" i="1"/>
  <c r="X213" i="1"/>
  <c r="Y204" i="1"/>
  <c r="F240" i="1"/>
  <c r="S204" i="1"/>
  <c r="F228" i="1"/>
  <c r="K43" i="7" l="1"/>
  <c r="G768" i="7"/>
  <c r="L720" i="7"/>
  <c r="L716" i="7"/>
  <c r="AN636" i="7"/>
  <c r="K636" i="7"/>
  <c r="X204" i="1"/>
  <c r="F239" i="1"/>
  <c r="CA204" i="1"/>
  <c r="AR213" i="1"/>
  <c r="CD204" i="1"/>
  <c r="AU213" i="1"/>
  <c r="AT106" i="1"/>
  <c r="F138" i="1"/>
  <c r="Y106" i="1"/>
  <c r="F147" i="1"/>
  <c r="X106" i="1"/>
  <c r="F146" i="1"/>
  <c r="CA106" i="1"/>
  <c r="AR120" i="1"/>
  <c r="CB106" i="1"/>
  <c r="AS120" i="1"/>
  <c r="S56" i="1"/>
  <c r="F258" i="1"/>
  <c r="J16" i="2" s="1"/>
  <c r="J18" i="2" s="1"/>
  <c r="S276" i="1"/>
  <c r="Y60" i="1"/>
  <c r="F101" i="1"/>
  <c r="Y243" i="1"/>
  <c r="X60" i="1"/>
  <c r="F100" i="1"/>
  <c r="X243" i="1"/>
  <c r="CA60" i="1"/>
  <c r="AR74" i="1"/>
  <c r="CC60" i="1"/>
  <c r="AT74" i="1"/>
  <c r="R18" i="1"/>
  <c r="F290" i="1"/>
  <c r="Q18" i="1"/>
  <c r="F288" i="1"/>
  <c r="O56" i="1"/>
  <c r="F245" i="1"/>
  <c r="O276" i="1"/>
  <c r="AY56" i="1"/>
  <c r="F251" i="1"/>
  <c r="AY276" i="1"/>
  <c r="AW56" i="1"/>
  <c r="F249" i="1"/>
  <c r="AW276" i="1"/>
  <c r="AV56" i="1"/>
  <c r="F248" i="1"/>
  <c r="AV276" i="1"/>
  <c r="P18" i="1"/>
  <c r="F279" i="1"/>
  <c r="V18" i="1"/>
  <c r="F299" i="1"/>
  <c r="BU636" i="7" l="1"/>
  <c r="BV636" i="7" s="1"/>
  <c r="BR636" i="7"/>
  <c r="I636" i="7"/>
  <c r="L763" i="7"/>
  <c r="L740" i="7"/>
  <c r="L770" i="7" s="1"/>
  <c r="L773" i="7" s="1"/>
  <c r="L774" i="7" s="1"/>
  <c r="L775" i="7" s="1"/>
  <c r="C39" i="7" s="1"/>
  <c r="AV18" i="1"/>
  <c r="F281" i="1"/>
  <c r="AW18" i="1"/>
  <c r="F282" i="1"/>
  <c r="AY18" i="1"/>
  <c r="F284" i="1"/>
  <c r="O18" i="1"/>
  <c r="F278" i="1"/>
  <c r="AT60" i="1"/>
  <c r="F92" i="1"/>
  <c r="AT243" i="1"/>
  <c r="AR60" i="1"/>
  <c r="F102" i="1"/>
  <c r="AR243" i="1"/>
  <c r="X56" i="1"/>
  <c r="F269" i="1"/>
  <c r="X276" i="1"/>
  <c r="Y56" i="1"/>
  <c r="F270" i="1"/>
  <c r="Y276" i="1"/>
  <c r="S18" i="1"/>
  <c r="F291" i="1"/>
  <c r="AS106" i="1"/>
  <c r="F137" i="1"/>
  <c r="AS243" i="1"/>
  <c r="AR106" i="1"/>
  <c r="F148" i="1"/>
  <c r="AU204" i="1"/>
  <c r="F232" i="1"/>
  <c r="AU243" i="1"/>
  <c r="AR204" i="1"/>
  <c r="F241" i="1"/>
  <c r="AU56" i="1" l="1"/>
  <c r="F262" i="1"/>
  <c r="AU276" i="1"/>
  <c r="AS56" i="1"/>
  <c r="F260" i="1"/>
  <c r="AS276" i="1"/>
  <c r="Y18" i="1"/>
  <c r="F303" i="1"/>
  <c r="X18" i="1"/>
  <c r="F302" i="1"/>
  <c r="AR56" i="1"/>
  <c r="F271" i="1"/>
  <c r="AR276" i="1"/>
  <c r="F272" i="1"/>
  <c r="F273" i="1" s="1"/>
  <c r="F274" i="1" s="1"/>
  <c r="AT56" i="1"/>
  <c r="F261" i="1"/>
  <c r="AT276" i="1"/>
  <c r="F16" i="2" l="1"/>
  <c r="F18" i="2" s="1"/>
  <c r="C43" i="7"/>
  <c r="E16" i="2"/>
  <c r="C42" i="7"/>
  <c r="H16" i="2"/>
  <c r="H18" i="2" s="1"/>
  <c r="C45" i="7"/>
  <c r="AT18" i="1"/>
  <c r="F294" i="1"/>
  <c r="AR18" i="1"/>
  <c r="F304" i="1"/>
  <c r="AS18" i="1"/>
  <c r="F293" i="1"/>
  <c r="I16" i="2"/>
  <c r="I18" i="2" s="1"/>
  <c r="E18" i="2"/>
  <c r="AU18" i="1"/>
  <c r="F295" i="1"/>
</calcChain>
</file>

<file path=xl/sharedStrings.xml><?xml version="1.0" encoding="utf-8"?>
<sst xmlns="http://schemas.openxmlformats.org/spreadsheetml/2006/main" count="7771" uniqueCount="669">
  <si>
    <t>Smeta.RU  (495) 974-1589</t>
  </si>
  <si>
    <t>_PS_</t>
  </si>
  <si>
    <t>Smeta.RU</t>
  </si>
  <si>
    <t/>
  </si>
  <si>
    <t>Новый объект</t>
  </si>
  <si>
    <t>ВЛ-0,4кВ</t>
  </si>
  <si>
    <t>Мишкина З.И.</t>
  </si>
  <si>
    <t>Сукочев А.А.</t>
  </si>
  <si>
    <t>Сметные нормы списания</t>
  </si>
  <si>
    <t>Коды ценников</t>
  </si>
  <si>
    <t>ФСНБ-2022_И12</t>
  </si>
  <si>
    <t>Версия 1.11.0 для ФСНБ-2022 И12</t>
  </si>
  <si>
    <t>ФСНБ-2022 - Изменения И12</t>
  </si>
  <si>
    <t>Поправки для ФСНБ-2022 от 17.12.2024 г И12 (55/пр) Реконструкция</t>
  </si>
  <si>
    <t>Приказ Минстроя России от 30.12.2021 г. № 1046/пр</t>
  </si>
  <si>
    <t>ГСН</t>
  </si>
  <si>
    <t>Новая локальная смета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</si>
  <si>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</si>
  <si>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</si>
  <si>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</si>
  <si>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</si>
  <si>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</si>
  <si>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</si>
  <si>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</si>
  <si>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</si>
  <si>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</si>
  <si>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</si>
  <si>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</si>
  <si>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</si>
  <si>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</si>
  <si>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</si>
  <si>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</si>
  <si>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</si>
  <si>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</si>
  <si>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</si>
  <si>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</si>
  <si>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</si>
  <si>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</si>
  <si>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</si>
  <si>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</si>
  <si>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</si>
  <si>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</si>
  <si>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</si>
  <si>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</si>
  <si>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</si>
  <si>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</si>
  <si>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</si>
  <si>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</si>
  <si>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</si>
  <si>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</si>
  <si>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</si>
  <si>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</si>
  <si>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</si>
  <si>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</si>
  <si>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</si>
  <si>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</si>
  <si>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</si>
  <si>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</si>
  <si>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</si>
  <si>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</si>
  <si>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</si>
  <si>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</si>
  <si>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</si>
  <si>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</si>
  <si>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</si>
  <si>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</si>
  <si>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</si>
  <si>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</si>
  <si>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</si>
  <si>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</si>
  <si>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</si>
  <si>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Реконструкция ВЛ-0,4 кВ от ТП-83 по адресу: г. Москва, п. Киевский, ул. 1-ой Дистанции Пути. (инв.№)</t>
  </si>
  <si>
    <t>Новый раздел</t>
  </si>
  <si>
    <t>Демонтажные работы</t>
  </si>
  <si>
    <t>1</t>
  </si>
  <si>
    <t>33-04-042-01</t>
  </si>
  <si>
    <t>Демонтаж опор ВЛ 0,38-10 кВ: без приставок одностоечных</t>
  </si>
  <si>
    <t>ШТ</t>
  </si>
  <si>
    <t>ГЭСН-2022, 33-04-042-01, приказ Минстроя России от 18.05.2022 г. № 378/пр</t>
  </si>
  <si>
    <t>Общестроительные работы</t>
  </si>
  <si>
    <t>Линии электропередачи</t>
  </si>
  <si>
    <t>ФЕР-33</t>
  </si>
  <si>
    <t>Пр/812-027.0-1</t>
  </si>
  <si>
    <t>Пр/774-027.0</t>
  </si>
  <si>
    <t>2</t>
  </si>
  <si>
    <t>33-04-016-02</t>
  </si>
  <si>
    <t>Вывоз конструкций и материалов опор ВЛ 0,38-10 кВ по трассе: одностоечных железобетонных опор</t>
  </si>
  <si>
    <t>ГЭСН-2022, 33-04-016-02, приказ Минстроя России от 18.05.2022 г. № 378/пр</t>
  </si>
  <si>
    <t>3</t>
  </si>
  <si>
    <t>33-04-016-05</t>
  </si>
  <si>
    <t>Вывоз конструкций и материалов опор ВЛ 0,38-10 кВ по трассе: материалов оснастки одностоечных опор</t>
  </si>
  <si>
    <t>ГЭСН-2022, 33-04-016-05, приказ Минстроя России от 18.05.2022 г. № 378/пр</t>
  </si>
  <si>
    <t>4</t>
  </si>
  <si>
    <t>33-04-040-01</t>
  </si>
  <si>
    <t>Демонтаж: 3-х проводов ВЛ 0,38 кВ с одной опоры</t>
  </si>
  <si>
    <t>ГЭСН-2022, 33-04-040-01, приказ Минстроя России от 18.05.2022 г. № 378/пр</t>
  </si>
  <si>
    <t>5</t>
  </si>
  <si>
    <t>33-04-040-02</t>
  </si>
  <si>
    <t>Демонтаж: одного дополнительного провода с одной опоры</t>
  </si>
  <si>
    <t>ГЭСН-2022, 33-04-040-02, приказ Минстроя России от 18.05.2022 г. № 378/пр</t>
  </si>
  <si>
    <t>)*2</t>
  </si>
  <si>
    <t>6</t>
  </si>
  <si>
    <t>33-04-041-01</t>
  </si>
  <si>
    <t>Снятие ответвлений ВЛ 0,38 кВ к зданиям при количестве проводов в ответвлении: 1</t>
  </si>
  <si>
    <t>ответвление</t>
  </si>
  <si>
    <t>ГЭСН-2022, 33-04-041-01, приказ Минстроя России от 18.05.2022 г. № 378/пр</t>
  </si>
  <si>
    <t>7</t>
  </si>
  <si>
    <t>м08-02-305-04</t>
  </si>
  <si>
    <t>Демонтаж: Траверса на опоре</t>
  </si>
  <si>
    <t>ГЭСНм-2022, м08-02-305-04, приказ Минстроя России от 18.05.2022 г. № 378/пр</t>
  </si>
  <si>
    <t>Поправка: 571/пр_2022_п.84_т.3_стр.4_стб.3 Наименование: Демонтаж оборудования, не пригодного для дальнейшего использования (предназначено в лом), без разборки и резки</t>
  </si>
  <si>
    <t>*0</t>
  </si>
  <si>
    <t>*0,3</t>
  </si>
  <si>
    <t>Монтажные работы</t>
  </si>
  <si>
    <t>Электротехнические установки: на других объектах</t>
  </si>
  <si>
    <t>мФЕР-08</t>
  </si>
  <si>
    <t>Поправка: 571/пр_2022_п.84_т.3_стр.4_стб.3</t>
  </si>
  <si>
    <t>Пр/812-049.3-1</t>
  </si>
  <si>
    <t>Пр/774-049.3</t>
  </si>
  <si>
    <t>8</t>
  </si>
  <si>
    <t>м08-01-052-02</t>
  </si>
  <si>
    <t>Демонтаж: Изолятор опорный напряжением: до 10 кВ</t>
  </si>
  <si>
    <t>ГЭСНм-2022, м08-01-052-02, приказ Минстроя России от 18.05.2022 г. № 378/пр</t>
  </si>
  <si>
    <t>9</t>
  </si>
  <si>
    <t>м08-02-374-03</t>
  </si>
  <si>
    <t>Демонтаж: ввода в здание, количество проводов в линии: 4</t>
  </si>
  <si>
    <t>ГЭСНм-2022, м08-02-374-03, приказ Минстроя России от 18.05.2022 г. № 378/пр</t>
  </si>
  <si>
    <t>10</t>
  </si>
  <si>
    <t>м08-02-471-01</t>
  </si>
  <si>
    <t>Демонтаж: Заземлитель вертикальный из угловой стали размером: 50х50х5 мм</t>
  </si>
  <si>
    <t>10 ШТ</t>
  </si>
  <si>
    <t>ГЭСНм-2022 доп.8, м08-02-471-01, приказ Минстроя России от 14.11.2023 г. № 817/пр</t>
  </si>
  <si>
    <t>11</t>
  </si>
  <si>
    <t>м08-02-472-09</t>
  </si>
  <si>
    <t>Демонтаж: Проводник заземляющий открыто по строительным основаниям: из круглой стали диаметром 12 мм</t>
  </si>
  <si>
    <t>100 м</t>
  </si>
  <si>
    <t>ГЭСНм-2022 доп.8, м08-02-472-09, приказ Минстроя России от 14.11.2023 г. № 817/пр</t>
  </si>
  <si>
    <t>12</t>
  </si>
  <si>
    <t>Развозка конструкций и материалов опор ВЛ 0,38-10 кВ по трассе: одностоечных железобетонных опор</t>
  </si>
  <si>
    <t>13</t>
  </si>
  <si>
    <t>Развозка конструкций и материалов опор ВЛ 0,38-10 кВ по трассе: материалов оснастки одностоечных опор</t>
  </si>
  <si>
    <t>14</t>
  </si>
  <si>
    <t>33-04-003-01</t>
  </si>
  <si>
    <t>Установка железобетонных опор ВЛ 0,38; 6-10 кВ с траверсами без приставок: одностоечных</t>
  </si>
  <si>
    <t>ГЭСН-2022 доп.11, 33-04-003-01, приказ Минстроя России от 09.08.2024 г. № 524/пр</t>
  </si>
  <si>
    <t>15</t>
  </si>
  <si>
    <t>33-04-003-02</t>
  </si>
  <si>
    <t>Установка железобетонных опор ВЛ 0,38; 6-10 кВ с траверсами без приставок: одностоечных с одним подкосом</t>
  </si>
  <si>
    <t>ГЭСН-2022 доп.11, 33-04-003-02, приказ Минстроя России от 09.08.2024 г. № 524/пр</t>
  </si>
  <si>
    <t>16</t>
  </si>
  <si>
    <t>м08-02-305-01</t>
  </si>
  <si>
    <t>Хомут на опоре</t>
  </si>
  <si>
    <t>ГЭСНм-2022, м08-02-305-01, приказ Минстроя России от 18.05.2022 г. № 378/пр</t>
  </si>
  <si>
    <t>17</t>
  </si>
  <si>
    <t>33-04-017-01</t>
  </si>
  <si>
    <t>Подвеска провода СИП-2 напряжением от 0,4 кВ до 1 кВ на опорах, при 32 опорах на км линии: с использованием автогидроподъемника</t>
  </si>
  <si>
    <t>1000 м</t>
  </si>
  <si>
    <t>ГЭСН-2022 доп.9, 33-04-017-01, приказ Минстроя России от 16.02.2024 г. № 102/пр</t>
  </si>
  <si>
    <t>1000 М</t>
  </si>
  <si>
    <t>18</t>
  </si>
  <si>
    <t>м08-01-082-01</t>
  </si>
  <si>
    <t>Зажим наборный без кожуха</t>
  </si>
  <si>
    <t>100 ШТ</t>
  </si>
  <si>
    <t>ГЭСНм-2022, м08-01-082-01, приказ Минстроя России от 18.05.2022 г. № 378/пр</t>
  </si>
  <si>
    <t>19</t>
  </si>
  <si>
    <t>33-04-013-03</t>
  </si>
  <si>
    <t>Устройство ответвлений от ВЛ 0,38 кВ к зданиям: с помощью механизмов при количестве проводов в ответвлении 4</t>
  </si>
  <si>
    <t>ГЭСН-2022 доп.10, 33-04-013-03, приказ Минстроя России от 13.05.2024 г. № 323/пр</t>
  </si>
  <si>
    <t>20</t>
  </si>
  <si>
    <t>Устройство ввода в здание, количество проводов в линии: 4</t>
  </si>
  <si>
    <t>21</t>
  </si>
  <si>
    <t>м08-02-471-02</t>
  </si>
  <si>
    <t>Заземлитель вертикальный из угловой стали размером: 63х63х6 мм</t>
  </si>
  <si>
    <t>ГЭСНм-2022 доп.8, м08-02-471-02, приказ Минстроя России от 14.11.2023 г. № 817/пр</t>
  </si>
  <si>
    <t>22</t>
  </si>
  <si>
    <t>Проводник заземляющий открыто по строительным основаниям: из круглой стали диаметром 12 мм</t>
  </si>
  <si>
    <t>Материалы не учтенные ценником</t>
  </si>
  <si>
    <t>23</t>
  </si>
  <si>
    <t>05.1.02.07-0070</t>
  </si>
  <si>
    <t>Стойки опор железобетонные, СВ-95 (44шт)</t>
  </si>
  <si>
    <t>м3</t>
  </si>
  <si>
    <t>ФСБЦ-2022, 05.1.02.07-0070,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</si>
  <si>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</si>
  <si>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</si>
  <si>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</si>
  <si>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24</t>
  </si>
  <si>
    <t>21.2.01.01-0038</t>
  </si>
  <si>
    <t>Провод самонесущий изолированный СИП-2 3х95+1х95-0,6/1</t>
  </si>
  <si>
    <t>ФСБЦ-2022 доп.4, 21.2.01.01-0038, приказ Минстроя России от 27.12.2022 г. № 1133/пр</t>
  </si>
  <si>
    <t>Материалы монтажные</t>
  </si>
  <si>
    <t>Материалы и конструкции ( монтажные )  по ценникам и каталогам</t>
  </si>
  <si>
    <t>ФССЦм</t>
  </si>
  <si>
    <t>25</t>
  </si>
  <si>
    <t>21.2.01.01-0065</t>
  </si>
  <si>
    <t>Провод самонесущий изолированный СИП-4 4х16-0,6/1</t>
  </si>
  <si>
    <t>ФСБЦ-2022 доп.4, 21.2.01.01-0065, приказ Минстроя России от 27.12.2022 г. № 1133/пр</t>
  </si>
  <si>
    <t>26</t>
  </si>
  <si>
    <t>20.1.01.01-0012</t>
  </si>
  <si>
    <t>Зажим анкерный (РА 2200) аналог РА2000</t>
  </si>
  <si>
    <t>ФСБЦ-2022 доп.12, 20.1.01.01-0012, приказ Минстроя России от 07.11.2024 г. № 747/пр</t>
  </si>
  <si>
    <t>27</t>
  </si>
  <si>
    <t>20.1.01.01-0002</t>
  </si>
  <si>
    <t>Зажим анкерный РА 25 (аналог DN123)</t>
  </si>
  <si>
    <t>ФСБЦ-2022 доп.12, 20.1.01.01-0002, приказ Минстроя России от 07.11.2024 г. № 747/пр</t>
  </si>
  <si>
    <t>28</t>
  </si>
  <si>
    <t>20.1.02.21-0040</t>
  </si>
  <si>
    <t>Кронштейн для крепления анкерных зажимов, CS 10.3</t>
  </si>
  <si>
    <t>ФСБЦ-2022, 20.1.02.21-0040, приказ Минстроя России от 18.05.2022 г. № 378/пр</t>
  </si>
  <si>
    <t>29</t>
  </si>
  <si>
    <t>20.1.01.08-0019</t>
  </si>
  <si>
    <t>Зажимы ответвительные Р 645</t>
  </si>
  <si>
    <t>ФСБЦ-2022 доп.9, 20.1.01.08-0019, приказ Минстроя России от 16.02.2024 г. № 102/пр</t>
  </si>
  <si>
    <t>30</t>
  </si>
  <si>
    <t>20.5.04.05-0009</t>
  </si>
  <si>
    <t>Зажимы ответвительные Р 70</t>
  </si>
  <si>
    <t>ФСБЦ-2022, 20.5.04.05-0009, приказ Минстроя России от 18.05.2022 г. № 378/пр</t>
  </si>
  <si>
    <t>31</t>
  </si>
  <si>
    <t>20.5.04.05-0006</t>
  </si>
  <si>
    <t>Зажим ответвительный (Р 6-ТЕ)(P-616R)</t>
  </si>
  <si>
    <t>ФСБЦ-2022, 20.5.04.05-0006, приказ Минстроя России от 18.05.2022 г. № 378/пр</t>
  </si>
  <si>
    <t>32</t>
  </si>
  <si>
    <t>20.5.04.05-0011</t>
  </si>
  <si>
    <t>Зажим ответвительный (CD 153)</t>
  </si>
  <si>
    <t>ФСБЦ-2022, 20.5.04.05-0011, приказ Минстроя России от 18.05.2022 г. № 378/пр</t>
  </si>
  <si>
    <t>33</t>
  </si>
  <si>
    <t>25.2.02.04-0003</t>
  </si>
  <si>
    <t>Подвеска промежуточная компл. ES 1500 ОE</t>
  </si>
  <si>
    <t>КОМПЛ</t>
  </si>
  <si>
    <t>ФСБЦ-2022 доп.2, 25.2.02.04-0003, приказ Минстроя России от 26.08.2022 г. № 703/пр</t>
  </si>
  <si>
    <t>34</t>
  </si>
  <si>
    <t>20.5.04.05-0007</t>
  </si>
  <si>
    <t>Зажимы ответвительные Р 481</t>
  </si>
  <si>
    <t>ФСБЦ-2022, 20.5.04.05-0007, приказ Минстроя России от 18.05.2022 г. № 378/пр</t>
  </si>
  <si>
    <t>35</t>
  </si>
  <si>
    <t>20.2.06.04-0002</t>
  </si>
  <si>
    <t>Кронштейн У-4</t>
  </si>
  <si>
    <t>ФСБЦ-2022, 20.2.06.04-0002, приказ Минстроя России от 18.05.2022 г. № 378/пр</t>
  </si>
  <si>
    <t>36</t>
  </si>
  <si>
    <t>27.2.01.08-0010</t>
  </si>
  <si>
    <t>Хомут к кронштейну, диаметр 89 мм</t>
  </si>
  <si>
    <t>ФСБЦ-2022, 27.2.01.08-0010, приказ Минстроя России от 18.05.2022 г. № 378/пр</t>
  </si>
  <si>
    <t>37</t>
  </si>
  <si>
    <t>08.3.08.02-0045</t>
  </si>
  <si>
    <t>Уголок стальной горячекатаный равнополочный, марки стали Ст3сп, Ст3пс, ширина полок 63-100 мм, толщина полки 4-16 мм</t>
  </si>
  <si>
    <t>т</t>
  </si>
  <si>
    <t>ФСБЦ-2022, 08.3.08.02-0045, приказ Минстроя России от 18.05.2022 г. № 378/пр</t>
  </si>
  <si>
    <t>38</t>
  </si>
  <si>
    <t>25.2.02.09-0011</t>
  </si>
  <si>
    <t>Стяжной хомут Е260</t>
  </si>
  <si>
    <t>ФСБЦ-2022, 25.2.02.09-0011, приказ Минстроя России от 18.05.2022 г. № 378/пр</t>
  </si>
  <si>
    <t>39</t>
  </si>
  <si>
    <t>14.2.02.03-0019</t>
  </si>
  <si>
    <t>Краска аэрозоль черная</t>
  </si>
  <si>
    <t>кг</t>
  </si>
  <si>
    <t>ФСБЦ-2022, 14.2.02.03-0019, приказ Минстроя России от 18.05.2022 г. № 378/пр</t>
  </si>
  <si>
    <t>Пусконаладочные работы</t>
  </si>
  <si>
    <t>40</t>
  </si>
  <si>
    <t>п01-11-024-01</t>
  </si>
  <si>
    <t>Фазировка электрической линии или трансформатора с сетью напряжением: до 1 кВ</t>
  </si>
  <si>
    <t>ГЭСНп-2022, п01-11-024-01,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</si>
  <si>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</si>
  <si>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</si>
  <si>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</si>
  <si>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</si>
  <si>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41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</si>
  <si>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</si>
  <si>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</si>
  <si>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ГЭСНп-2022, п01-11-028-01, приказ Минстроя России от 18.05.2022 г. № 378/пр</t>
  </si>
  <si>
    <t>42</t>
  </si>
  <si>
    <t>п01-11-010-01</t>
  </si>
  <si>
    <t>Измерение сопротивления растеканию тока: заземлителя</t>
  </si>
  <si>
    <t>измерение</t>
  </si>
  <si>
    <t>ГЭСНп-2022, п01-11-010-01, приказ Минстроя России от 18.05.2022 г. № 378/пр</t>
  </si>
  <si>
    <t>43</t>
  </si>
  <si>
    <t>п01-11-010-02</t>
  </si>
  <si>
    <t>Измерение сопротивления растеканию тока: контура с диагональю до 20 м</t>
  </si>
  <si>
    <t>ГЭСНп-2022, п01-11-010-02, приказ Минстроя России от 18.05.2022 г. № 378/пр</t>
  </si>
  <si>
    <t>44</t>
  </si>
  <si>
    <t>п01-11-012-01</t>
  </si>
  <si>
    <t>Определение удельного сопротивления грунта</t>
  </si>
  <si>
    <t>ГЭСНп-2022, п01-11-012-01, приказ Минстроя России от 18.05.2022 г. № 378/пр</t>
  </si>
  <si>
    <t>45</t>
  </si>
  <si>
    <t>п01-11-011-01</t>
  </si>
  <si>
    <t>Проверка наличия цепи между заземлителями и заземленными элементами</t>
  </si>
  <si>
    <t>100 измерений</t>
  </si>
  <si>
    <t>ГЭСНп-2022, п01-11-011-01,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</si>
  <si>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</si>
  <si>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</si>
  <si>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</si>
  <si>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</si>
  <si>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</si>
  <si>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</si>
  <si>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</si>
  <si>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</si>
  <si>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</si>
  <si>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</si>
  <si>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</si>
  <si>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</si>
  <si>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</si>
  <si>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</si>
  <si>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</si>
  <si>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</si>
  <si>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</si>
  <si>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</si>
  <si>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</si>
  <si>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</si>
  <si>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</si>
  <si>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</si>
  <si>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</si>
  <si>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</si>
  <si>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</si>
  <si>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</si>
  <si>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</si>
  <si>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</si>
  <si>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</si>
  <si>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</si>
  <si>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</si>
  <si>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</si>
  <si>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</si>
  <si>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</si>
  <si>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</si>
  <si>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</si>
  <si>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</si>
  <si>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</si>
  <si>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</si>
  <si>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</si>
  <si>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</si>
  <si>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</si>
  <si>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</si>
  <si>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</si>
  <si>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</si>
  <si>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</si>
  <si>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</si>
  <si>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</si>
  <si>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АВТО_ДРГ</t>
  </si>
  <si>
    <t>{вкл} - НР и СП по п.021.0 "Автомобильные дороги" (раздел 2 нормы 27-02-010-01:07)  {выкл} - НР и СП по п.021.1 Устройство покрытий дорожек, тротуаров, мостовых и площадок и прочее (раздел 2 нормы 27-02-010-01:07)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</si>
  <si>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</si>
  <si>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</si>
  <si>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</si>
  <si>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</si>
  <si>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</si>
  <si>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</si>
  <si>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</si>
  <si>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</si>
  <si>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</si>
  <si>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</si>
  <si>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</si>
  <si>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</si>
  <si>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</si>
  <si>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</si>
  <si>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</si>
  <si>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</si>
  <si>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</si>
  <si>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</si>
  <si>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</si>
  <si>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</si>
  <si>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</si>
  <si>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</si>
  <si>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</si>
  <si>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</si>
  <si>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</si>
  <si>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</si>
  <si>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4 квартал 2024 г</t>
  </si>
  <si>
    <t>Сборник индексов</t>
  </si>
  <si>
    <t>Москва ФСНБ</t>
  </si>
  <si>
    <t>Письмо Минстроя России   «О расчете индексов изменения сметной стоимости строительства по группам однородных строительных ресурсов на IV квартал 2024 года,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</si>
  <si>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</si>
  <si>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25 ноября 2024 г. № 69894-ИФ/09</t>
  </si>
  <si>
    <t>Данные в ФГИС ЦС отсутсвуют</t>
  </si>
  <si>
    <t>_OBSM_</t>
  </si>
  <si>
    <t>1-100-35</t>
  </si>
  <si>
    <t>Затраты труда рабочих (Средний разряд - 3,5)</t>
  </si>
  <si>
    <t>чел.-ч.</t>
  </si>
  <si>
    <t>4-100-00</t>
  </si>
  <si>
    <t>Затраты труда машинистов</t>
  </si>
  <si>
    <t>91.04.01-031</t>
  </si>
  <si>
    <t>ФСЭМ-2022, 91.04.01-031, приказ Минстроя России от 18.05.2022 г. № 378/пр</t>
  </si>
  <si>
    <t>Машины бурильно-крановые на автомобильном ходу, диаметр бурения до 800 мм, глубина бурения до 5 м</t>
  </si>
  <si>
    <t>маш.-ч</t>
  </si>
  <si>
    <t>4-100-050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</si>
  <si>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</si>
  <si>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</si>
  <si>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</si>
  <si>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4-100-040</t>
  </si>
  <si>
    <t>1-100-25</t>
  </si>
  <si>
    <t>Затраты труда рабочих (Средний разряд - 2,5)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</si>
  <si>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</si>
  <si>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</si>
  <si>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</si>
  <si>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4-100-060</t>
  </si>
  <si>
    <t>91.15.01-001</t>
  </si>
  <si>
    <t>ФСЭМ-2022, 91.15.01-001, приказ Минстроя России от 18.05.2022 г. № 378/пр</t>
  </si>
  <si>
    <t>Прицепы тракторные, грузоподъемность до 2 т</t>
  </si>
  <si>
    <t>91.15.03-014</t>
  </si>
  <si>
    <t>ФСЭМ-2022 доп.2, 91.15.03-014, приказ Минстроя России от 26.08.2022 г. № 703/пр</t>
  </si>
  <si>
    <t>Тракторы на пневмоколесном ходу, мощность 59 кВт (80 л.с.)</t>
  </si>
  <si>
    <t>1-100-28</t>
  </si>
  <si>
    <t>Средний разряд работы 2,8</t>
  </si>
  <si>
    <t>91.06.06-011</t>
  </si>
  <si>
    <t>ФСЭМ-2022, 91.06.06-011, приказ Минстроя России от 18.05.2022 г. № 378/пр</t>
  </si>
  <si>
    <t>Автогидроподъемники, высота подъема 12 м</t>
  </si>
  <si>
    <t>1-100-26</t>
  </si>
  <si>
    <t>Средний разряд работы 2,6</t>
  </si>
  <si>
    <t>Средний разряд работы 2,5</t>
  </si>
  <si>
    <t>1-100-36</t>
  </si>
  <si>
    <t>Затраты труда рабочих (Средний разряд - 3,6)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</si>
  <si>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</si>
  <si>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</si>
  <si>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</si>
  <si>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1-100-40</t>
  </si>
  <si>
    <t>Затраты труда рабочих (Средний разряд - 4)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</si>
  <si>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</si>
  <si>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</si>
  <si>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</si>
  <si>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1-100-46</t>
  </si>
  <si>
    <t>Затраты труда рабочих (Средний разряд - 4,6)</t>
  </si>
  <si>
    <t>91.06.09-001</t>
  </si>
  <si>
    <t>ФСЭМ-2022, 91.06.09-001, приказ Минстроя России от 18.05.2022 г. № 378/пр</t>
  </si>
  <si>
    <t>Подъемники телескопические самоходные, рабочая высота 26 м, грузоподъемность 250 кг</t>
  </si>
  <si>
    <t>01.7.06.12-0008</t>
  </si>
  <si>
    <t>ФСБЦ-2022, 01.7.06.12-0008, приказ Минстроя России от 18.05.2022 г. № 378/пр</t>
  </si>
  <si>
    <t>Ленты изоляционные из ПВХ с липким слоем с одной стороны для электромонтажных и ремонтных работ, цвет синий, ширина 15 мм, толщина 0,2 мм</t>
  </si>
  <si>
    <t>м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</si>
  <si>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</si>
  <si>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</si>
  <si>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</si>
  <si>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14.4.03.03-0002</t>
  </si>
  <si>
    <t>ФСБЦ-2022 доп.4, 14.4.03.03-0002, приказ Минстроя России от 27.12.2022 г. № 1133/пр</t>
  </si>
  <si>
    <t>Лак битумный БТ-123</t>
  </si>
  <si>
    <t>20.2.02.01-0019</t>
  </si>
  <si>
    <t>ФСБЦ-2022, 20.2.02.01-0019, приказ Минстроя России от 18.05.2022 г. № 378/пр</t>
  </si>
  <si>
    <t>Втулки изолирующие, размеры 65х50х18 мм</t>
  </si>
  <si>
    <t>1000 ШТ</t>
  </si>
  <si>
    <t>1-100-38</t>
  </si>
  <si>
    <t>Затраты труда рабочих (Средний разряд - 3,8)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</si>
  <si>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</si>
  <si>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</si>
  <si>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</si>
  <si>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</si>
  <si>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</si>
  <si>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</si>
  <si>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</si>
  <si>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</si>
  <si>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</si>
  <si>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</si>
  <si>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</si>
  <si>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</si>
  <si>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1-100-33</t>
  </si>
  <si>
    <t>Средний разряд работы 3,3</t>
  </si>
  <si>
    <t>ФСЭМ-2022 доп.11, 91.04.01-031, приказ Минстроя России от 07.11.2024 г. № 747/пр</t>
  </si>
  <si>
    <t>01.3.01.06-0038</t>
  </si>
  <si>
    <t>ФСБЦ-2022, 01.3.01.06-0038, приказ Минстроя России от 18.05.2022 г. № 378/пр</t>
  </si>
  <si>
    <t>Смазка защитная электросетевая</t>
  </si>
  <si>
    <t>01.3.01.06-0051</t>
  </si>
  <si>
    <t>ФСБЦ-2022 доп.12, 01.3.01.06-0051, приказ Минстроя России от 07.11.2024 г. № 747/пр</t>
  </si>
  <si>
    <t>Смазка солидол жировой Ж</t>
  </si>
  <si>
    <t>01.7.20.08-0051</t>
  </si>
  <si>
    <t>ФСБЦ-2022 доп.8, 01.7.20.08-0051, приказ Минстроя России от 14.11.2023 г. № 817/пр</t>
  </si>
  <si>
    <t>Ветошь хлопчатобумажная цветная</t>
  </si>
  <si>
    <t>05.1.02.07</t>
  </si>
  <si>
    <t>Стойка железобетонная вибрированная для опор</t>
  </si>
  <si>
    <t>07.2.02.05</t>
  </si>
  <si>
    <t>Траверсы стальные</t>
  </si>
  <si>
    <t>07.2.07.13</t>
  </si>
  <si>
    <t>Хомуты стальные</t>
  </si>
  <si>
    <t>08.3.04.02</t>
  </si>
  <si>
    <t>Сталь стержневая диаметром до 10 мм</t>
  </si>
  <si>
    <t>14.4.02.04-0182</t>
  </si>
  <si>
    <t>ФСБЦ-2022, 14.4.02.04-0182, приказ Минстроя России от 18.05.2022 г. № 378/пр</t>
  </si>
  <si>
    <t>Краска масляная МА-15, цветная</t>
  </si>
  <si>
    <t>14.4.03.03-0102</t>
  </si>
  <si>
    <t>ФСБЦ-2022 доп.4, 14.4.03.03-0102, приказ Минстроя России от 27.12.2022 г. № 1133/пр</t>
  </si>
  <si>
    <t>Лак битумный БТ-577</t>
  </si>
  <si>
    <t>20.2.02.04-0006</t>
  </si>
  <si>
    <t>ФСБЦ-2022, 20.2.02.04-0006, приказ Минстроя России от 18.05.2022 г. № 378/пр</t>
  </si>
  <si>
    <t>Колпачки полиэтиленовые К-6</t>
  </si>
  <si>
    <t>22.2.01.04</t>
  </si>
  <si>
    <t>Изоляторы штыревые</t>
  </si>
  <si>
    <t>22.2.02.21</t>
  </si>
  <si>
    <t>Штыри</t>
  </si>
  <si>
    <t>22.2.02.23</t>
  </si>
  <si>
    <t>Металлические плакаты</t>
  </si>
  <si>
    <t>22.2.02.07</t>
  </si>
  <si>
    <t>Детали крепления стальные</t>
  </si>
  <si>
    <t>22.2.02.09</t>
  </si>
  <si>
    <t>Средний разряд работы 3,6</t>
  </si>
  <si>
    <t>2-100-02</t>
  </si>
  <si>
    <t>Рабочий 2 разряда</t>
  </si>
  <si>
    <t>чел.-ч</t>
  </si>
  <si>
    <t>2-100-03</t>
  </si>
  <si>
    <t>Рабочий 3 разряда</t>
  </si>
  <si>
    <t>2-100-04</t>
  </si>
  <si>
    <t>Рабочий 4 разряда</t>
  </si>
  <si>
    <t>2-100-05</t>
  </si>
  <si>
    <t>Рабочий 5 разряда</t>
  </si>
  <si>
    <t>91.06.03-055</t>
  </si>
  <si>
    <t>ФСЭМ-2022, 91.06.03-055, приказ Минстроя России от 18.05.2022 г. № 378/пр</t>
  </si>
  <si>
    <t>Лебедки электрические тяговым усилием 19,62 кН (2 т)</t>
  </si>
  <si>
    <t>91.17.04-544</t>
  </si>
  <si>
    <t>ФСЭМ-2022, 91.17.04-544, приказ Минстроя России от 18.05.2022 г. № 378/пр</t>
  </si>
  <si>
    <t>Генераторы бензиновые портативные, мощность до 6 кВт</t>
  </si>
  <si>
    <t>20.1.01.01</t>
  </si>
  <si>
    <t>Комплект линейной арматуры для крепления СИП-2 на опоре ВЛИ</t>
  </si>
  <si>
    <t>20.1.01.11</t>
  </si>
  <si>
    <t>Комплект линейной арматуры для устройства заземлений на опорах ВЛИ</t>
  </si>
  <si>
    <t>21.2.01.01</t>
  </si>
  <si>
    <t>Провода самонесущие изолированные для ВЛИ</t>
  </si>
  <si>
    <t>Средний разряд работы 4,0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</si>
  <si>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</si>
  <si>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</si>
  <si>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</si>
  <si>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20.5.04.03-0002</t>
  </si>
  <si>
    <t>ФСБЦ-2022, 20.5.04.03-0002, приказ Минстроя России от 18.05.2022 г. № 378/пр</t>
  </si>
  <si>
    <t>Зажимы наборные проходные ЗН24-4П25</t>
  </si>
  <si>
    <t>Средний разряд работы 3,5</t>
  </si>
  <si>
    <t>21.2.01.02</t>
  </si>
  <si>
    <t>Провода неизолированные для воздушных линий электропередач</t>
  </si>
  <si>
    <t>Изоляторы линейные штыревые фарфоровые</t>
  </si>
  <si>
    <t>Крюки</t>
  </si>
  <si>
    <t>Средний разряд работы 3,8</t>
  </si>
  <si>
    <t>2-100-06</t>
  </si>
  <si>
    <t>Рабочий 6 разряда</t>
  </si>
  <si>
    <t>3-200-03</t>
  </si>
  <si>
    <t>Инженер III категории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</si>
  <si>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</si>
  <si>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</t>
  </si>
  <si>
    <t>Методика применения сметных норм 571/пр (О.П.)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</si>
  <si>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</si>
  <si>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</si>
  <si>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</si>
  <si>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</si>
  <si>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</si>
  <si>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</si>
  <si>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</si>
  <si>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</si>
  <si>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</si>
  <si>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</si>
  <si>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</si>
  <si>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</si>
  <si>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</si>
  <si>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</si>
  <si>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</si>
  <si>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</si>
  <si>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</si>
  <si>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</si>
  <si>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</si>
  <si>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</si>
  <si>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</si>
  <si>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</si>
  <si>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</si>
  <si>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</si>
  <si>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</si>
  <si>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</si>
  <si>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</si>
  <si>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</si>
  <si>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</si>
  <si>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</si>
  <si>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</si>
  <si>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</si>
  <si>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</si>
  <si>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</si>
  <si>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</si>
  <si>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</si>
  <si>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</si>
  <si>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</si>
  <si>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</si>
  <si>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</si>
  <si>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</si>
  <si>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декабрь 2024 года</t>
  </si>
  <si>
    <t>Раздел: Демонтажные работы</t>
  </si>
  <si>
    <t>ГЭСН 33-04-042-01</t>
  </si>
  <si>
    <t>ОТ (ЗТ)</t>
  </si>
  <si>
    <t>ЭМ</t>
  </si>
  <si>
    <t>ОТм(ЗТм) Средний разряд машинистов 5</t>
  </si>
  <si>
    <t>ОТм(ЗТм) Средний разряд машинистов 4</t>
  </si>
  <si>
    <t>ОТм(ЗТм)</t>
  </si>
  <si>
    <t>Итого прямые затраты</t>
  </si>
  <si>
    <t>ФОТ</t>
  </si>
  <si>
    <t>НР Линии электропередачи</t>
  </si>
  <si>
    <t>СП Линии электропередачи</t>
  </si>
  <si>
    <t>Всего по позиции</t>
  </si>
  <si>
    <t>=</t>
  </si>
  <si>
    <t>ГЭСН 33-04-016-02</t>
  </si>
  <si>
    <t>ОТм(ЗТм) Средний разряд машинистов 6</t>
  </si>
  <si>
    <t>ГЭСН 33-04-016-05</t>
  </si>
  <si>
    <t>ГЭСН 33-04-040-01</t>
  </si>
  <si>
    <t>ГЭСН 33-04-040-02</t>
  </si>
  <si>
    <r>
      <t>Демонтаж: одного дополнительного провода с одной опоры</t>
    </r>
    <r>
      <rPr>
        <i/>
        <sz val="10"/>
        <rFont val="Arial"/>
        <family val="2"/>
        <charset val="204"/>
      </rPr>
      <t xml:space="preserve">
Поправки к: 
М )*2;   
ЭМ )*2;   
ЗТ )*2;   
ЗТм )*2</t>
    </r>
  </si>
  <si>
    <t>ГЭСН 33-04-041-01</t>
  </si>
  <si>
    <t>ГЭСНм 08-02-305-04</t>
  </si>
  <si>
    <t>ЭМ *0,3; М *0; ЗТ *0,3; ЗТм *0,3</t>
  </si>
  <si>
    <t>М</t>
  </si>
  <si>
    <t>НР Электротехнические установки: на других объектах</t>
  </si>
  <si>
    <t>СП Электротехнические установки: на других объектах</t>
  </si>
  <si>
    <t>ГЭСНм 08-01-052-02</t>
  </si>
  <si>
    <t>ГЭСНм 08-02-374-03</t>
  </si>
  <si>
    <t>ГЭСНм 08-02-471-01</t>
  </si>
  <si>
    <t>ГЭСНм 08-02-472-09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</si>
  <si>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</si>
  <si>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</si>
  <si>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</si>
  <si>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</si>
  <si>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</si>
  <si>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</si>
  <si>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</si>
  <si>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</si>
  <si>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</si>
  <si>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</si>
  <si>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</si>
  <si>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</si>
  <si>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</si>
  <si>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</si>
  <si>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</si>
  <si>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</si>
  <si>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</si>
  <si>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</si>
  <si>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</si>
  <si>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</si>
  <si>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</si>
  <si>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</si>
  <si>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</si>
  <si>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</si>
  <si>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</si>
  <si>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</si>
  <si>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Монтажные работы</t>
  </si>
  <si>
    <t>ГЭСН 33-04-003-01</t>
  </si>
  <si>
    <t>ГЭСН 33-04-003-02</t>
  </si>
  <si>
    <t>ГЭСНм 08-02-305-01</t>
  </si>
  <si>
    <t>ГЭСН 33-04-017-01</t>
  </si>
  <si>
    <t>ГЭСНм 08-01-082-01</t>
  </si>
  <si>
    <t>ГЭСН 33-04-013-03</t>
  </si>
  <si>
    <t>ГЭСНм 08-02-471-02</t>
  </si>
  <si>
    <t>Раздел: Материалы не учтенные ценником</t>
  </si>
  <si>
    <t>Раздел: Пусконаладочные работы</t>
  </si>
  <si>
    <t>ГЭСНп 01-11-024-01</t>
  </si>
  <si>
    <t>НР Пусконаладочные работы</t>
  </si>
  <si>
    <t>СП Пусконаладочные работы</t>
  </si>
  <si>
    <t>ГЭСНп 01-11-028-01</t>
  </si>
  <si>
    <t>ГЭСНп 01-11-010-01</t>
  </si>
  <si>
    <t>ГЭСНп 01-11-010-02</t>
  </si>
  <si>
    <t>ГЭСНп 01-11-012-01</t>
  </si>
  <si>
    <t>ГЭСНп 01-11-011-01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</si>
  <si>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</si>
  <si>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</si>
  <si>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</si>
  <si>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</si>
  <si>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</si>
  <si>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</si>
  <si>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</si>
  <si>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</si>
  <si>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</si>
  <si>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</si>
  <si>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</si>
  <si>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</si>
  <si>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</si>
  <si>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</si>
  <si>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</si>
  <si>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</si>
  <si>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</si>
  <si>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</si>
  <si>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Инженерно-геодезические работы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</si>
  <si>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</si>
  <si>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</si>
  <si>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</si>
  <si>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</si>
  <si>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</si>
  <si>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___________________2025 г</t>
  </si>
  <si>
    <t>ЛОКАЛЬНАЯ СМЕТА № 1</t>
  </si>
  <si>
    <t>Реконструкция ВЛ-0,4 кВ от ТП-83 по адресу: г. Москва, поселение Киевский, п.Железнодорожный, по трассе 1459/4377, квартал № 26 (инв.№ 43315802)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</si>
</sst>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5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1" fillId="0" borderId="0" xfId="0" quotePrefix="1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165" fontId="21" fillId="0" borderId="0" xfId="0" applyNumberFormat="1" applyFont="1" applyAlignment="1">
      <alignment horizontal="right" vertical="top"/>
    </xf>
    <xf numFmtId="166" fontId="21" fillId="0" borderId="0" xfId="0" applyNumberFormat="1" applyFont="1" applyAlignment="1">
      <alignment horizontal="right" vertical="top"/>
    </xf>
    <xf numFmtId="165" fontId="23" fillId="0" borderId="0" xfId="0" applyNumberFormat="1" applyFont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165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right" vertical="top" wrapText="1"/>
    </xf>
    <xf numFmtId="165" fontId="0" fillId="0" borderId="0" xfId="0" applyNumberFormat="1"/>
    <xf numFmtId="165" fontId="21" fillId="0" borderId="0" xfId="0" applyNumberFormat="1" applyFont="1" applyAlignment="1">
      <alignment horizontal="right"/>
    </xf>
    <xf numFmtId="0" fontId="23" fillId="0" borderId="0" xfId="0" applyFont="1" applyAlignment="1">
      <alignment horizontal="left" vertical="top" wrapText="1"/>
    </xf>
    <xf numFmtId="0" fontId="21" fillId="0" borderId="0" xfId="0" applyFont="1" applyAlignment="1">
      <alignment vertical="top"/>
    </xf>
    <xf numFmtId="165" fontId="23" fillId="0" borderId="2" xfId="0" applyNumberFormat="1" applyFont="1" applyBorder="1" applyAlignment="1">
      <alignment horizontal="right" vertical="top"/>
    </xf>
    <xf numFmtId="0" fontId="24" fillId="0" borderId="0" xfId="0" applyFont="1" applyAlignment="1">
      <alignment vertical="top" wrapText="1"/>
    </xf>
    <xf numFmtId="0" fontId="21" fillId="0" borderId="1" xfId="0" applyFont="1" applyBorder="1" applyAlignment="1">
      <alignment horizontal="left" vertical="top"/>
    </xf>
    <xf numFmtId="166" fontId="21" fillId="0" borderId="1" xfId="0" applyNumberFormat="1" applyFont="1" applyBorder="1" applyAlignment="1">
      <alignment horizontal="right" vertical="top"/>
    </xf>
    <xf numFmtId="165" fontId="23" fillId="0" borderId="1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3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/>
    </xf>
    <xf numFmtId="0" fontId="21" fillId="0" borderId="1" xfId="0" quotePrefix="1" applyFont="1" applyBorder="1" applyAlignment="1">
      <alignment horizontal="left" vertical="top" wrapText="1"/>
    </xf>
    <xf numFmtId="0" fontId="0" fillId="0" borderId="1" xfId="0" applyBorder="1"/>
    <xf numFmtId="0" fontId="23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right" vertical="top"/>
    </xf>
    <xf numFmtId="0" fontId="21" fillId="0" borderId="0" xfId="0" applyFont="1" applyAlignment="1">
      <alignment horizontal="left" wrapText="1"/>
    </xf>
    <xf numFmtId="165" fontId="12" fillId="0" borderId="0" xfId="0" applyNumberFormat="1" applyFont="1"/>
    <xf numFmtId="166" fontId="12" fillId="0" borderId="0" xfId="0" applyNumberFormat="1" applyFont="1"/>
    <xf numFmtId="0" fontId="18" fillId="0" borderId="1" xfId="0" applyFont="1" applyBorder="1" applyAlignment="1">
      <alignment horizontal="left"/>
    </xf>
    <xf numFmtId="0" fontId="26" fillId="0" borderId="0" xfId="1" applyFont="1" applyAlignment="1">
      <alignment horizontal="left" wrapText="1"/>
    </xf>
    <xf numFmtId="0" fontId="26" fillId="0" borderId="0" xfId="0" applyFont="1" applyAlignment="1">
      <alignment vertical="top"/>
    </xf>
    <xf numFmtId="165" fontId="26" fillId="0" borderId="0" xfId="0" applyNumberFormat="1" applyFont="1" applyAlignment="1">
      <alignment vertical="top"/>
    </xf>
    <xf numFmtId="0" fontId="27" fillId="0" borderId="0" xfId="0" applyFont="1" applyAlignment="1">
      <alignment vertical="top"/>
    </xf>
    <xf numFmtId="4" fontId="26" fillId="0" borderId="0" xfId="1" applyNumberFormat="1" applyFont="1" applyAlignment="1">
      <alignment horizontal="left" wrapText="1"/>
    </xf>
    <xf numFmtId="9" fontId="26" fillId="0" borderId="0" xfId="1" applyNumberFormat="1" applyFont="1" applyAlignment="1">
      <alignment horizontal="left" wrapText="1"/>
    </xf>
    <xf numFmtId="167" fontId="26" fillId="0" borderId="0" xfId="0" applyNumberFormat="1" applyFont="1" applyAlignment="1">
      <alignment vertical="top"/>
    </xf>
    <xf numFmtId="165" fontId="26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165" fontId="11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0" xfId="1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26" fillId="0" borderId="0" xfId="2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7" fillId="0" borderId="2" xfId="0" applyFont="1" applyBorder="1" applyAlignment="1">
      <alignment horizontal="center" vertical="top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20" fillId="0" borderId="0" xfId="0" applyFont="1" applyAlignment="1">
      <alignment horizontal="left" vertical="top" wrapText="1"/>
    </xf>
    <xf numFmtId="165" fontId="23" fillId="0" borderId="0" xfId="0" applyNumberFormat="1" applyFont="1" applyAlignment="1">
      <alignment horizontal="left" vertical="top"/>
    </xf>
    <xf numFmtId="165" fontId="23" fillId="0" borderId="2" xfId="0" applyNumberFormat="1" applyFont="1" applyBorder="1" applyAlignment="1">
      <alignment horizontal="right" vertical="top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0" fontId="23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/>
    </xf>
    <xf numFmtId="0" fontId="28" fillId="0" borderId="0" xfId="0" applyFont="1" applyAlignment="1">
      <alignment vertical="center"/>
    </xf>
  </cellXfs>
  <cellStyles count="3">
    <cellStyle name="Обычный" xfId="0" builtinId="0"/>
    <cellStyle name="Обычный 2 2" xfId="2" xr:uid="{270D877E-49DB-46DA-9345-FFD9FAA0625F}"/>
    <cellStyle name="Обычный 2 28" xfId="1" xr:uid="{E11DC932-7832-44F7-96D5-30CC33636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26052-7F35-4D5F-A2D4-95EECCCDEF58}">
  <sheetPr>
    <pageSetUpPr fitToPage="1"/>
  </sheetPr>
  <dimension ref="A1:CO785"/>
  <sheetViews>
    <sheetView tabSelected="1" topLeftCell="A9" zoomScaleNormal="100" workbookViewId="0">
      <selection activeCell="F42" sqref="F42"/>
    </sheetView>
  </sheetViews>
  <sheetFormatPr defaultRowHeight="12.75" x14ac:dyDescent="0.2"/>
  <cols>
    <col min="1" max="1" width="5.7109375" customWidth="1"/>
    <col min="2" max="2" width="20.7109375" customWidth="1"/>
    <col min="3" max="3" width="49.5703125" style="85" customWidth="1"/>
    <col min="4" max="4" width="10.7109375" customWidth="1"/>
    <col min="5" max="12" width="15.7109375" customWidth="1"/>
    <col min="15" max="91" width="0" hidden="1" customWidth="1"/>
    <col min="92" max="92" width="198.7109375" hidden="1" customWidth="1"/>
    <col min="93" max="93" width="108.7109375" hidden="1" customWidth="1"/>
    <col min="94" max="101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92" t="s">
        <v>528</v>
      </c>
      <c r="B2" s="92"/>
      <c r="C2" s="92"/>
      <c r="D2" s="92"/>
      <c r="E2" s="92"/>
      <c r="F2" s="93" t="s">
        <v>565</v>
      </c>
      <c r="G2" s="93"/>
      <c r="H2" s="93"/>
      <c r="I2" s="93"/>
      <c r="J2" s="93"/>
      <c r="K2" s="93"/>
      <c r="L2" s="93"/>
    </row>
    <row r="3" spans="1:93" ht="12.75" customHeight="1" x14ac:dyDescent="0.2">
      <c r="A3" s="13"/>
      <c r="B3" s="13"/>
      <c r="C3" s="10"/>
      <c r="D3" s="13"/>
      <c r="E3" s="13"/>
      <c r="F3" s="14"/>
      <c r="G3" s="14"/>
      <c r="H3" s="14"/>
      <c r="I3" s="14"/>
      <c r="J3" s="14"/>
      <c r="K3" s="14"/>
      <c r="L3" s="14"/>
    </row>
    <row r="4" spans="1:93" ht="12.75" customHeight="1" x14ac:dyDescent="0.2">
      <c r="A4" s="92" t="s">
        <v>529</v>
      </c>
      <c r="B4" s="92"/>
      <c r="C4" s="92"/>
      <c r="D4" s="92"/>
      <c r="E4" s="92"/>
      <c r="F4" s="93" t="str">
        <f>IF(Source!CQ12 &lt;&gt; "", Source!CQ12, "")</f>
        <v>Приказ Минстроя России от 30.12.2021 г. № 1046/пр</v>
      </c>
      <c r="G4" s="93"/>
      <c r="H4" s="93"/>
      <c r="I4" s="93"/>
      <c r="J4" s="93"/>
      <c r="K4" s="93"/>
      <c r="L4" s="93"/>
    </row>
    <row r="5" spans="1:93" ht="12.75" customHeight="1" x14ac:dyDescent="0.2">
      <c r="A5" s="13"/>
      <c r="B5" s="13"/>
      <c r="C5" s="10"/>
      <c r="D5" s="13"/>
      <c r="E5" s="13"/>
      <c r="F5" s="14"/>
      <c r="G5" s="14"/>
      <c r="H5" s="14"/>
      <c r="I5" s="14"/>
      <c r="J5" s="14"/>
      <c r="K5" s="14"/>
      <c r="L5" s="14"/>
    </row>
    <row r="6" spans="1:93" ht="76.5" x14ac:dyDescent="0.2">
      <c r="A6" s="92" t="s">
        <v>530</v>
      </c>
      <c r="B6" s="92"/>
      <c r="C6" s="92"/>
      <c r="D6" s="92"/>
      <c r="E6" s="92"/>
      <c r="F6" s="93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  <c r="G6" s="93"/>
      <c r="H6" s="93"/>
      <c r="I6" s="93"/>
      <c r="J6" s="93"/>
      <c r="K6" s="93"/>
      <c r="L6" s="93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</row>
    <row r="7" spans="1:93" ht="12.75" customHeight="1" x14ac:dyDescent="0.2">
      <c r="A7" s="13"/>
      <c r="B7" s="13"/>
      <c r="C7" s="10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92" t="s">
        <v>531</v>
      </c>
      <c r="B8" s="92"/>
      <c r="C8" s="92"/>
      <c r="D8" s="92"/>
      <c r="E8" s="92"/>
      <c r="F8" s="93" t="s">
        <v>367</v>
      </c>
      <c r="G8" s="93"/>
      <c r="H8" s="93"/>
      <c r="I8" s="93"/>
      <c r="J8" s="93"/>
      <c r="K8" s="93"/>
      <c r="L8" s="93"/>
    </row>
    <row r="9" spans="1:93" ht="12.75" customHeight="1" x14ac:dyDescent="0.2">
      <c r="A9" s="13"/>
      <c r="B9" s="13"/>
      <c r="C9" s="10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92" t="s">
        <v>532</v>
      </c>
      <c r="B10" s="92"/>
      <c r="C10" s="92"/>
      <c r="D10" s="92"/>
      <c r="E10" s="92"/>
      <c r="F10" s="93" t="s">
        <v>368</v>
      </c>
      <c r="G10" s="93"/>
      <c r="H10" s="93"/>
      <c r="I10" s="93"/>
      <c r="J10" s="93"/>
      <c r="K10" s="93"/>
      <c r="L10" s="93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92" t="s">
        <v>533</v>
      </c>
      <c r="B12" s="92"/>
      <c r="C12" s="92"/>
      <c r="D12" s="92"/>
      <c r="E12" s="92"/>
      <c r="F12" s="93" t="s">
        <v>566</v>
      </c>
      <c r="G12" s="93"/>
      <c r="H12" s="93"/>
      <c r="I12" s="93"/>
      <c r="J12" s="93"/>
      <c r="K12" s="93"/>
      <c r="L12" s="93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92" t="s">
        <v>534</v>
      </c>
      <c r="B14" s="92"/>
      <c r="C14" s="92"/>
      <c r="D14" s="92"/>
      <c r="E14" s="92"/>
      <c r="F14" s="93" t="str">
        <f>IF(Source!CZ12 &lt;&gt; "", Source!CZ12, "")</f>
        <v/>
      </c>
      <c r="G14" s="93"/>
      <c r="H14" s="93"/>
      <c r="I14" s="93"/>
      <c r="J14" s="93"/>
      <c r="K14" s="93"/>
      <c r="L14" s="93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92" t="s">
        <v>535</v>
      </c>
      <c r="B16" s="92"/>
      <c r="C16" s="92"/>
      <c r="D16" s="92"/>
      <c r="E16" s="92"/>
      <c r="F16" s="93" t="str">
        <f>IF(Source!DA12 &lt;&gt; "", Source!DA12, "")</f>
        <v/>
      </c>
      <c r="G16" s="93"/>
      <c r="H16" s="93"/>
      <c r="I16" s="93"/>
      <c r="J16" s="93"/>
      <c r="K16" s="93"/>
      <c r="L16" s="93"/>
    </row>
    <row r="17" spans="1:92" ht="12.75" customHeight="1" x14ac:dyDescent="0.2">
      <c r="A17" s="17"/>
      <c r="B17" s="17"/>
      <c r="C17" s="86"/>
      <c r="D17" s="17"/>
      <c r="E17" s="17"/>
      <c r="F17" s="18"/>
      <c r="G17" s="18"/>
      <c r="H17" s="18"/>
      <c r="I17" s="18"/>
      <c r="J17" s="18"/>
      <c r="K17" s="18"/>
      <c r="L17" s="18"/>
    </row>
    <row r="18" spans="1:92" ht="15.75" x14ac:dyDescent="0.25">
      <c r="A18" s="81"/>
      <c r="B18" s="96" t="s">
        <v>663</v>
      </c>
      <c r="C18" s="96"/>
      <c r="D18" s="82"/>
      <c r="E18" s="83"/>
      <c r="F18" s="83"/>
      <c r="G18" s="17"/>
      <c r="H18" s="17"/>
      <c r="I18" s="17"/>
      <c r="J18" s="17"/>
      <c r="K18" s="17"/>
      <c r="L18" s="17"/>
    </row>
    <row r="19" spans="1:92" ht="15.75" x14ac:dyDescent="0.25">
      <c r="A19" s="81"/>
      <c r="B19" s="82"/>
      <c r="C19" s="82"/>
      <c r="D19" s="82"/>
      <c r="E19" s="83"/>
      <c r="F19" s="83"/>
      <c r="G19" s="17"/>
      <c r="H19" s="17"/>
      <c r="I19" s="17"/>
      <c r="J19" s="17"/>
      <c r="K19" s="17"/>
      <c r="L19" s="17"/>
    </row>
    <row r="20" spans="1:92" ht="15.75" x14ac:dyDescent="0.25">
      <c r="A20" s="81"/>
      <c r="B20" s="96" t="s">
        <v>664</v>
      </c>
      <c r="C20" s="96"/>
      <c r="D20" s="96"/>
      <c r="E20" s="96"/>
      <c r="F20" s="96"/>
      <c r="G20" s="17"/>
      <c r="H20" s="17"/>
      <c r="I20" s="17"/>
      <c r="J20" s="17"/>
      <c r="K20" s="17"/>
      <c r="L20" s="17"/>
    </row>
    <row r="21" spans="1:92" ht="15.75" x14ac:dyDescent="0.25">
      <c r="A21" s="81"/>
      <c r="B21" s="82"/>
      <c r="C21" s="82"/>
      <c r="D21" s="82"/>
      <c r="E21" s="83"/>
      <c r="F21" s="83"/>
      <c r="G21" s="17"/>
      <c r="H21" s="17"/>
      <c r="I21" s="17"/>
      <c r="J21" s="17"/>
      <c r="K21" s="17"/>
      <c r="L21" s="17"/>
    </row>
    <row r="22" spans="1:92" ht="15.75" x14ac:dyDescent="0.25">
      <c r="A22" s="81"/>
      <c r="B22" s="96" t="s">
        <v>665</v>
      </c>
      <c r="C22" s="96"/>
      <c r="D22" s="96"/>
      <c r="E22" s="96"/>
      <c r="F22" s="128"/>
      <c r="G22" s="17"/>
      <c r="H22" s="17"/>
      <c r="I22" s="17"/>
      <c r="J22" s="17"/>
      <c r="K22" s="17"/>
      <c r="L22" s="17"/>
    </row>
    <row r="23" spans="1:92" ht="15.75" x14ac:dyDescent="0.25">
      <c r="A23" s="81"/>
      <c r="B23" s="82"/>
      <c r="C23" s="82"/>
      <c r="D23" s="82"/>
      <c r="E23" s="83"/>
      <c r="F23" s="83"/>
      <c r="G23" s="17"/>
      <c r="H23" s="17"/>
      <c r="I23" s="17"/>
      <c r="J23" s="17"/>
      <c r="K23" s="17"/>
      <c r="L23" s="17"/>
    </row>
    <row r="24" spans="1:92" ht="15.75" x14ac:dyDescent="0.25">
      <c r="A24" s="81"/>
      <c r="B24" s="96" t="s">
        <v>666</v>
      </c>
      <c r="C24" s="96"/>
      <c r="D24" s="82"/>
      <c r="E24" s="82"/>
      <c r="F24" s="83"/>
      <c r="G24" s="17"/>
      <c r="H24" s="17"/>
      <c r="I24" s="17"/>
      <c r="J24" s="17"/>
      <c r="K24" s="17"/>
      <c r="L24" s="17"/>
    </row>
    <row r="25" spans="1:92" ht="14.25" x14ac:dyDescent="0.2">
      <c r="A25" s="20"/>
      <c r="B25" s="20"/>
      <c r="C25" s="84"/>
      <c r="D25" s="20"/>
      <c r="E25" s="20"/>
      <c r="F25" s="21"/>
      <c r="G25" s="21"/>
      <c r="H25" s="21"/>
      <c r="I25" s="21"/>
      <c r="J25" s="21"/>
      <c r="K25" s="21"/>
      <c r="L25" s="21"/>
    </row>
    <row r="26" spans="1:92" ht="15.75" x14ac:dyDescent="0.25">
      <c r="A26" s="97" t="s">
        <v>667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92" ht="12.75" customHeight="1" x14ac:dyDescent="0.25">
      <c r="A27" s="19"/>
      <c r="B27" s="19"/>
      <c r="C27" s="87"/>
      <c r="D27" s="19"/>
      <c r="E27" s="19"/>
      <c r="F27" s="19"/>
      <c r="G27" s="19"/>
      <c r="H27" s="19"/>
      <c r="I27" s="19"/>
      <c r="J27" s="19"/>
      <c r="K27" s="19"/>
      <c r="L27" s="19"/>
    </row>
    <row r="28" spans="1:92" ht="18" x14ac:dyDescent="0.25">
      <c r="A28" s="101" t="s">
        <v>668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CN28" s="22" t="str">
        <f>IF(Source!G54&lt;&gt;"Новая локальная смета", Source!G54, "")</f>
        <v>Реконструкция ВЛ-0,4 кВ от ТП-83 по адресу: г. Москва, п. Киевский, ул. 1-ой Дистанции Пути. (инв.№)</v>
      </c>
    </row>
    <row r="29" spans="1:92" ht="14.25" customHeight="1" x14ac:dyDescent="0.2">
      <c r="A29" s="98" t="s">
        <v>536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</row>
    <row r="30" spans="1:92" ht="14.25" customHeight="1" x14ac:dyDescent="0.2">
      <c r="A30" s="20"/>
      <c r="B30" s="20"/>
      <c r="C30" s="84"/>
      <c r="D30" s="20"/>
      <c r="E30" s="20"/>
      <c r="F30" s="20"/>
      <c r="G30" s="20"/>
      <c r="H30" s="20"/>
      <c r="I30" s="20"/>
      <c r="J30" s="20"/>
      <c r="K30" s="20"/>
      <c r="L30" s="20"/>
    </row>
    <row r="31" spans="1:92" ht="14.25" customHeight="1" x14ac:dyDescent="0.2">
      <c r="A31" s="20"/>
      <c r="B31" s="20"/>
      <c r="C31" s="84"/>
      <c r="D31" s="20"/>
      <c r="E31" s="20"/>
      <c r="F31" s="20"/>
      <c r="G31" s="20"/>
      <c r="H31" s="20"/>
      <c r="I31" s="20"/>
      <c r="J31" s="20"/>
      <c r="K31" s="20"/>
      <c r="L31" s="20"/>
    </row>
    <row r="32" spans="1:92" ht="12.75" customHeight="1" x14ac:dyDescent="0.2">
      <c r="A32" s="12" t="s">
        <v>537</v>
      </c>
      <c r="B32" s="12"/>
      <c r="C32" s="88" t="s">
        <v>567</v>
      </c>
      <c r="D32" s="12" t="s">
        <v>538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89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539</v>
      </c>
      <c r="B34" s="12"/>
      <c r="C34" s="102"/>
      <c r="D34" s="102"/>
      <c r="E34" s="102"/>
      <c r="F34" s="102"/>
      <c r="G34" s="102"/>
      <c r="H34" s="102"/>
      <c r="I34" s="102"/>
      <c r="J34" s="102"/>
      <c r="K34" s="102"/>
      <c r="L34" s="102"/>
    </row>
    <row r="35" spans="1:12" ht="12.75" customHeight="1" x14ac:dyDescent="0.2">
      <c r="A35" s="24"/>
      <c r="B35" s="25"/>
      <c r="C35" s="98" t="s">
        <v>540</v>
      </c>
      <c r="D35" s="98"/>
      <c r="E35" s="98"/>
      <c r="F35" s="98"/>
      <c r="G35" s="98"/>
      <c r="H35" s="98"/>
      <c r="I35" s="98"/>
      <c r="J35" s="98"/>
      <c r="K35" s="98"/>
      <c r="L35" s="98"/>
    </row>
    <row r="36" spans="1:12" ht="14.25" customHeight="1" x14ac:dyDescent="0.2">
      <c r="A36" s="20"/>
      <c r="B36" s="20"/>
      <c r="C36" s="84"/>
      <c r="D36" s="20"/>
      <c r="E36" s="20"/>
      <c r="F36" s="20"/>
      <c r="G36" s="20"/>
      <c r="H36" s="20"/>
      <c r="I36" s="20"/>
      <c r="J36" s="20"/>
      <c r="K36" s="20"/>
      <c r="L36" s="20"/>
    </row>
    <row r="37" spans="1:12" ht="14.25" customHeight="1" x14ac:dyDescent="0.2">
      <c r="A37" s="26" t="s">
        <v>568</v>
      </c>
      <c r="B37" s="20"/>
      <c r="C37" s="84"/>
      <c r="D37" s="27"/>
      <c r="E37" s="20"/>
      <c r="F37" s="20"/>
      <c r="G37" s="20"/>
      <c r="H37" s="20"/>
      <c r="I37" s="20"/>
      <c r="J37" s="20"/>
      <c r="K37" s="20"/>
      <c r="L37" s="20"/>
    </row>
    <row r="38" spans="1:12" ht="14.25" customHeight="1" x14ac:dyDescent="0.2">
      <c r="A38" s="20"/>
      <c r="B38" s="20"/>
      <c r="C38" s="84"/>
      <c r="D38" s="20"/>
      <c r="E38" s="20"/>
      <c r="F38" s="20"/>
      <c r="G38" s="20"/>
      <c r="H38" s="20"/>
      <c r="I38" s="20"/>
      <c r="J38" s="20"/>
      <c r="K38" s="20"/>
      <c r="L38" s="20"/>
    </row>
    <row r="39" spans="1:12" ht="14.25" customHeight="1" x14ac:dyDescent="0.2">
      <c r="A39" s="26" t="s">
        <v>541</v>
      </c>
      <c r="B39" s="20"/>
      <c r="C39" s="99">
        <f>L775/1000</f>
        <v>3005.4475439999997</v>
      </c>
      <c r="D39" s="100"/>
      <c r="E39" s="12" t="s">
        <v>542</v>
      </c>
      <c r="F39" s="17"/>
      <c r="G39" s="17"/>
      <c r="H39" s="17"/>
      <c r="I39" s="17"/>
      <c r="J39" s="17"/>
      <c r="K39" s="17"/>
      <c r="L39" s="20"/>
    </row>
    <row r="40" spans="1:12" ht="14.25" customHeight="1" x14ac:dyDescent="0.2">
      <c r="A40" s="26"/>
      <c r="B40" s="20"/>
      <c r="C40" s="90"/>
      <c r="D40" s="28"/>
      <c r="E40" s="12"/>
      <c r="F40" s="17"/>
      <c r="G40" s="12" t="s">
        <v>543</v>
      </c>
      <c r="H40" s="20"/>
      <c r="I40" s="12"/>
      <c r="J40" s="12"/>
      <c r="K40" s="70">
        <f>ROUND(SUM(AR53:AR772)/1000, 2)</f>
        <v>330.6</v>
      </c>
      <c r="L40" s="12" t="s">
        <v>542</v>
      </c>
    </row>
    <row r="41" spans="1:12" ht="14.25" customHeight="1" x14ac:dyDescent="0.2">
      <c r="A41" s="20"/>
      <c r="B41" s="29" t="s">
        <v>544</v>
      </c>
      <c r="C41" s="90"/>
      <c r="D41" s="20"/>
      <c r="E41" s="12"/>
      <c r="F41" s="17"/>
      <c r="G41" s="12" t="s">
        <v>545</v>
      </c>
      <c r="H41" s="20"/>
      <c r="I41" s="12"/>
      <c r="J41" s="12"/>
      <c r="K41" s="70">
        <f>ROUND(SUM(AT53:AT772)/1000, 2)</f>
        <v>91.42</v>
      </c>
      <c r="L41" s="12" t="s">
        <v>542</v>
      </c>
    </row>
    <row r="42" spans="1:12" ht="14.25" customHeight="1" x14ac:dyDescent="0.2">
      <c r="A42" s="20"/>
      <c r="B42" s="26" t="s">
        <v>546</v>
      </c>
      <c r="C42" s="99">
        <f>ROUND((Source!F260)/1000, 2)</f>
        <v>1268.47</v>
      </c>
      <c r="D42" s="100"/>
      <c r="E42" s="12" t="s">
        <v>542</v>
      </c>
      <c r="F42" s="17"/>
      <c r="G42" s="12" t="s">
        <v>547</v>
      </c>
      <c r="H42" s="20"/>
      <c r="I42" s="12"/>
      <c r="J42" s="28"/>
      <c r="K42" s="71">
        <f>Source!F265</f>
        <v>683.62940000000003</v>
      </c>
      <c r="L42" s="12" t="s">
        <v>372</v>
      </c>
    </row>
    <row r="43" spans="1:12" ht="14.25" customHeight="1" x14ac:dyDescent="0.2">
      <c r="A43" s="20"/>
      <c r="B43" s="26" t="s">
        <v>548</v>
      </c>
      <c r="C43" s="99">
        <f>ROUND((Source!F261)/1000, 2)</f>
        <v>719.3</v>
      </c>
      <c r="D43" s="100"/>
      <c r="E43" s="12" t="s">
        <v>542</v>
      </c>
      <c r="F43" s="17"/>
      <c r="G43" s="12" t="s">
        <v>549</v>
      </c>
      <c r="H43" s="20"/>
      <c r="I43" s="12"/>
      <c r="J43" s="30"/>
      <c r="K43" s="71">
        <f>Source!F266</f>
        <v>167.55665999999999</v>
      </c>
      <c r="L43" s="12" t="s">
        <v>372</v>
      </c>
    </row>
    <row r="44" spans="1:12" ht="14.25" customHeight="1" x14ac:dyDescent="0.2">
      <c r="A44" s="20"/>
      <c r="B44" s="26" t="s">
        <v>550</v>
      </c>
      <c r="C44" s="99">
        <f>ROUND((Source!F252)/1000, 2)</f>
        <v>0</v>
      </c>
      <c r="D44" s="100"/>
      <c r="E44" s="12" t="s">
        <v>542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20"/>
      <c r="B45" s="26" t="s">
        <v>551</v>
      </c>
      <c r="C45" s="99">
        <f>ROUND((Source!F262)/1000, 2)</f>
        <v>110.83</v>
      </c>
      <c r="D45" s="100"/>
      <c r="E45" s="12" t="s">
        <v>542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31"/>
      <c r="B46" s="31"/>
      <c r="C46" s="72"/>
      <c r="D46" s="31"/>
      <c r="E46" s="31"/>
      <c r="F46" s="31"/>
      <c r="G46" s="31"/>
      <c r="H46" s="31"/>
      <c r="I46" s="31"/>
      <c r="J46" s="31"/>
      <c r="K46" s="31"/>
      <c r="L46" s="31"/>
    </row>
    <row r="47" spans="1:12" ht="12.75" customHeight="1" x14ac:dyDescent="0.2">
      <c r="A47" s="106" t="s">
        <v>552</v>
      </c>
      <c r="B47" s="106" t="s">
        <v>553</v>
      </c>
      <c r="C47" s="106" t="s">
        <v>554</v>
      </c>
      <c r="D47" s="106" t="s">
        <v>555</v>
      </c>
      <c r="E47" s="109" t="s">
        <v>556</v>
      </c>
      <c r="F47" s="110"/>
      <c r="G47" s="111"/>
      <c r="H47" s="109" t="s">
        <v>557</v>
      </c>
      <c r="I47" s="110"/>
      <c r="J47" s="110"/>
      <c r="K47" s="110"/>
      <c r="L47" s="111"/>
    </row>
    <row r="48" spans="1:12" ht="12.75" customHeight="1" x14ac:dyDescent="0.2">
      <c r="A48" s="107"/>
      <c r="B48" s="107"/>
      <c r="C48" s="107"/>
      <c r="D48" s="107"/>
      <c r="E48" s="112"/>
      <c r="F48" s="113"/>
      <c r="G48" s="114"/>
      <c r="H48" s="118"/>
      <c r="I48" s="113"/>
      <c r="J48" s="113"/>
      <c r="K48" s="113"/>
      <c r="L48" s="114"/>
    </row>
    <row r="49" spans="1:83" ht="12.75" customHeight="1" x14ac:dyDescent="0.2">
      <c r="A49" s="107"/>
      <c r="B49" s="107"/>
      <c r="C49" s="107"/>
      <c r="D49" s="107"/>
      <c r="E49" s="112"/>
      <c r="F49" s="113"/>
      <c r="G49" s="114"/>
      <c r="H49" s="118"/>
      <c r="I49" s="113"/>
      <c r="J49" s="113"/>
      <c r="K49" s="113"/>
      <c r="L49" s="114"/>
    </row>
    <row r="50" spans="1:83" ht="12.75" customHeight="1" x14ac:dyDescent="0.2">
      <c r="A50" s="107"/>
      <c r="B50" s="107"/>
      <c r="C50" s="107"/>
      <c r="D50" s="107"/>
      <c r="E50" s="115"/>
      <c r="F50" s="116"/>
      <c r="G50" s="117"/>
      <c r="H50" s="119"/>
      <c r="I50" s="116"/>
      <c r="J50" s="116"/>
      <c r="K50" s="116"/>
      <c r="L50" s="117"/>
    </row>
    <row r="51" spans="1:83" ht="51" customHeight="1" x14ac:dyDescent="0.2">
      <c r="A51" s="108"/>
      <c r="B51" s="108"/>
      <c r="C51" s="108"/>
      <c r="D51" s="108"/>
      <c r="E51" s="32" t="s">
        <v>558</v>
      </c>
      <c r="F51" s="32" t="s">
        <v>559</v>
      </c>
      <c r="G51" s="33" t="s">
        <v>560</v>
      </c>
      <c r="H51" s="32" t="s">
        <v>561</v>
      </c>
      <c r="I51" s="32" t="s">
        <v>562</v>
      </c>
      <c r="J51" s="32" t="s">
        <v>563</v>
      </c>
      <c r="K51" s="32" t="s">
        <v>559</v>
      </c>
      <c r="L51" s="32" t="s">
        <v>564</v>
      </c>
    </row>
    <row r="52" spans="1:83" ht="14.25" customHeight="1" x14ac:dyDescent="0.2">
      <c r="A52" s="34">
        <v>1</v>
      </c>
      <c r="B52" s="34">
        <v>2</v>
      </c>
      <c r="C52" s="34">
        <v>3</v>
      </c>
      <c r="D52" s="34">
        <v>4</v>
      </c>
      <c r="E52" s="34">
        <v>5</v>
      </c>
      <c r="F52" s="34">
        <v>6</v>
      </c>
      <c r="G52" s="34">
        <v>7</v>
      </c>
      <c r="H52" s="34">
        <v>8</v>
      </c>
      <c r="I52" s="34">
        <v>9</v>
      </c>
      <c r="J52" s="34">
        <v>10</v>
      </c>
      <c r="K52" s="36">
        <v>11</v>
      </c>
      <c r="L52" s="36">
        <v>12</v>
      </c>
    </row>
    <row r="54" spans="1:83" ht="16.5" x14ac:dyDescent="0.2">
      <c r="A54" s="103" t="s">
        <v>569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</row>
    <row r="55" spans="1:83" ht="28.5" x14ac:dyDescent="0.2">
      <c r="A55" s="37" t="s">
        <v>74</v>
      </c>
      <c r="B55" s="39" t="s">
        <v>570</v>
      </c>
      <c r="C55" s="39" t="str">
        <f>Source!G62</f>
        <v>Демонтаж опор ВЛ 0,38-10 кВ: без приставок одностоечных</v>
      </c>
      <c r="D55" s="40" t="str">
        <f>Source!H62</f>
        <v>ШТ</v>
      </c>
      <c r="E55" s="41">
        <f>Source!K62</f>
        <v>32</v>
      </c>
      <c r="F55" s="41"/>
      <c r="G55" s="41">
        <f>Source!I62</f>
        <v>32</v>
      </c>
      <c r="H55" s="43"/>
      <c r="I55" s="42"/>
      <c r="J55" s="43"/>
      <c r="K55" s="42"/>
      <c r="L55" s="43"/>
    </row>
    <row r="56" spans="1:83" ht="15" x14ac:dyDescent="0.2">
      <c r="A56" s="38"/>
      <c r="B56" s="41">
        <v>1</v>
      </c>
      <c r="C56" s="38" t="s">
        <v>571</v>
      </c>
      <c r="D56" s="40" t="s">
        <v>372</v>
      </c>
      <c r="E56" s="44"/>
      <c r="F56" s="41"/>
      <c r="G56" s="44">
        <f>Source!U62</f>
        <v>25.92</v>
      </c>
      <c r="H56" s="41"/>
      <c r="I56" s="41"/>
      <c r="J56" s="41"/>
      <c r="K56" s="41"/>
      <c r="L56" s="45">
        <f>SUM(L57:L57)-SUMIF(CE57:CE57, 1, L57:L57)</f>
        <v>12003.29</v>
      </c>
    </row>
    <row r="57" spans="1:83" ht="14.25" x14ac:dyDescent="0.2">
      <c r="A57" s="39"/>
      <c r="B57" s="39" t="s">
        <v>370</v>
      </c>
      <c r="C57" s="39" t="s">
        <v>371</v>
      </c>
      <c r="D57" s="40" t="s">
        <v>372</v>
      </c>
      <c r="E57" s="41">
        <v>0.81</v>
      </c>
      <c r="F57" s="41"/>
      <c r="G57" s="41">
        <f>SmtRes!CX1</f>
        <v>25.92</v>
      </c>
      <c r="H57" s="43"/>
      <c r="I57" s="42"/>
      <c r="J57" s="43">
        <f>SmtRes!CZ1</f>
        <v>463.09</v>
      </c>
      <c r="K57" s="42"/>
      <c r="L57" s="43">
        <f>SmtRes!DI1</f>
        <v>12003.29</v>
      </c>
    </row>
    <row r="58" spans="1:83" ht="15" x14ac:dyDescent="0.2">
      <c r="A58" s="38"/>
      <c r="B58" s="41">
        <v>2</v>
      </c>
      <c r="C58" s="38" t="s">
        <v>572</v>
      </c>
      <c r="D58" s="40"/>
      <c r="E58" s="44"/>
      <c r="F58" s="41"/>
      <c r="G58" s="44"/>
      <c r="H58" s="41"/>
      <c r="I58" s="41"/>
      <c r="J58" s="41"/>
      <c r="K58" s="41"/>
      <c r="L58" s="45">
        <f>SUM(L59:L63)-SUMIF(CE59:CE63, 1, L59:L63)</f>
        <v>28395.569999999992</v>
      </c>
    </row>
    <row r="59" spans="1:83" ht="15" x14ac:dyDescent="0.2">
      <c r="A59" s="38"/>
      <c r="B59" s="41"/>
      <c r="C59" s="38" t="s">
        <v>575</v>
      </c>
      <c r="D59" s="40" t="s">
        <v>372</v>
      </c>
      <c r="E59" s="44"/>
      <c r="F59" s="41"/>
      <c r="G59" s="44">
        <f>Source!V62</f>
        <v>15.36</v>
      </c>
      <c r="H59" s="41"/>
      <c r="I59" s="41"/>
      <c r="J59" s="41"/>
      <c r="K59" s="41"/>
      <c r="L59" s="45">
        <f>SUMIF(CE60:CE63, 1, L60:L63)</f>
        <v>8565.64</v>
      </c>
      <c r="CE59">
        <v>1</v>
      </c>
    </row>
    <row r="60" spans="1:83" ht="42.75" x14ac:dyDescent="0.2">
      <c r="A60" s="39"/>
      <c r="B60" s="39" t="s">
        <v>375</v>
      </c>
      <c r="C60" s="39" t="s">
        <v>377</v>
      </c>
      <c r="D60" s="40" t="s">
        <v>378</v>
      </c>
      <c r="E60" s="41">
        <v>0.44</v>
      </c>
      <c r="F60" s="41"/>
      <c r="G60" s="41">
        <f>SmtRes!CX3</f>
        <v>14.08</v>
      </c>
      <c r="H60" s="43">
        <f>SmtRes!CZ3</f>
        <v>1609.97</v>
      </c>
      <c r="I60" s="42">
        <f>SmtRes!AJ3</f>
        <v>1.22</v>
      </c>
      <c r="J60" s="43">
        <f>ROUND(H60*I60, 2)</f>
        <v>1964.16</v>
      </c>
      <c r="K60" s="42"/>
      <c r="L60" s="43">
        <f>SmtRes!DG3</f>
        <v>27655.37</v>
      </c>
    </row>
    <row r="61" spans="1:83" ht="14.25" x14ac:dyDescent="0.2">
      <c r="A61" s="39"/>
      <c r="B61" s="39" t="s">
        <v>379</v>
      </c>
      <c r="C61" s="39" t="s">
        <v>573</v>
      </c>
      <c r="D61" s="40" t="s">
        <v>372</v>
      </c>
      <c r="E61" s="41">
        <f>SmtRes!DO3*SmtRes!AT3</f>
        <v>0.44</v>
      </c>
      <c r="F61" s="41"/>
      <c r="G61" s="41">
        <f>SmtRes!DO3*SmtRes!CX3</f>
        <v>14.08</v>
      </c>
      <c r="H61" s="43"/>
      <c r="I61" s="42"/>
      <c r="J61" s="43">
        <f>ROUND(SmtRes!AG3/SmtRes!DO3, 2)</f>
        <v>563.76</v>
      </c>
      <c r="K61" s="42"/>
      <c r="L61" s="43">
        <f>SmtRes!DH3</f>
        <v>7937.74</v>
      </c>
      <c r="CE61">
        <v>1</v>
      </c>
    </row>
    <row r="62" spans="1:83" ht="28.5" x14ac:dyDescent="0.2">
      <c r="A62" s="39"/>
      <c r="B62" s="39" t="s">
        <v>380</v>
      </c>
      <c r="C62" s="39" t="s">
        <v>382</v>
      </c>
      <c r="D62" s="40" t="s">
        <v>378</v>
      </c>
      <c r="E62" s="41">
        <v>0.04</v>
      </c>
      <c r="F62" s="41"/>
      <c r="G62" s="41">
        <f>SmtRes!CX4</f>
        <v>1.28</v>
      </c>
      <c r="H62" s="43">
        <f>SmtRes!CZ4</f>
        <v>477.92</v>
      </c>
      <c r="I62" s="42">
        <f>SmtRes!AJ4</f>
        <v>1.21</v>
      </c>
      <c r="J62" s="43">
        <f>ROUND(H62*I62, 2)</f>
        <v>578.28</v>
      </c>
      <c r="K62" s="42"/>
      <c r="L62" s="43">
        <f>SmtRes!DG4</f>
        <v>740.2</v>
      </c>
    </row>
    <row r="63" spans="1:83" ht="14.25" x14ac:dyDescent="0.2">
      <c r="A63" s="39"/>
      <c r="B63" s="39" t="s">
        <v>383</v>
      </c>
      <c r="C63" s="46" t="s">
        <v>574</v>
      </c>
      <c r="D63" s="47" t="s">
        <v>372</v>
      </c>
      <c r="E63" s="48">
        <f>SmtRes!DO4*SmtRes!AT4</f>
        <v>0.04</v>
      </c>
      <c r="F63" s="48"/>
      <c r="G63" s="48">
        <f>SmtRes!DO4*SmtRes!CX4</f>
        <v>1.28</v>
      </c>
      <c r="H63" s="49"/>
      <c r="I63" s="50"/>
      <c r="J63" s="49">
        <f>ROUND(SmtRes!AG4/SmtRes!DO4, 2)</f>
        <v>490.55</v>
      </c>
      <c r="K63" s="50"/>
      <c r="L63" s="49">
        <f>SmtRes!DH4</f>
        <v>627.9</v>
      </c>
      <c r="CE63">
        <v>1</v>
      </c>
    </row>
    <row r="64" spans="1:83" ht="15" x14ac:dyDescent="0.2">
      <c r="A64" s="39"/>
      <c r="B64" s="39"/>
      <c r="C64" s="53" t="s">
        <v>576</v>
      </c>
      <c r="D64" s="40"/>
      <c r="E64" s="41"/>
      <c r="F64" s="41"/>
      <c r="G64" s="41"/>
      <c r="H64" s="43"/>
      <c r="I64" s="42"/>
      <c r="J64" s="43"/>
      <c r="K64" s="42"/>
      <c r="L64" s="43">
        <f>L56+L58+L59</f>
        <v>48964.499999999993</v>
      </c>
    </row>
    <row r="65" spans="1:83" ht="14.25" x14ac:dyDescent="0.2">
      <c r="A65" s="39"/>
      <c r="B65" s="39"/>
      <c r="C65" s="39" t="s">
        <v>577</v>
      </c>
      <c r="D65" s="40"/>
      <c r="E65" s="41"/>
      <c r="F65" s="41"/>
      <c r="G65" s="41"/>
      <c r="H65" s="43"/>
      <c r="I65" s="42"/>
      <c r="J65" s="43"/>
      <c r="K65" s="42"/>
      <c r="L65" s="43">
        <f>SUM(AR55:AR68)+SUM(AS55:AS68)+SUM(AT55:AT68)+SUM(AU55:AU68)+SUM(AV55:AV68)</f>
        <v>20568.93</v>
      </c>
    </row>
    <row r="66" spans="1:83" ht="14.25" x14ac:dyDescent="0.2">
      <c r="A66" s="39"/>
      <c r="B66" s="39" t="s">
        <v>82</v>
      </c>
      <c r="C66" s="39" t="s">
        <v>578</v>
      </c>
      <c r="D66" s="40" t="s">
        <v>408</v>
      </c>
      <c r="E66" s="41">
        <f>Source!BZ62</f>
        <v>103</v>
      </c>
      <c r="F66" s="41"/>
      <c r="G66" s="41">
        <f>Source!AT62</f>
        <v>103</v>
      </c>
      <c r="H66" s="43"/>
      <c r="I66" s="42"/>
      <c r="J66" s="43"/>
      <c r="K66" s="42"/>
      <c r="L66" s="43">
        <f>SUM(AZ55:AZ68)</f>
        <v>21186</v>
      </c>
    </row>
    <row r="67" spans="1:83" ht="14.25" x14ac:dyDescent="0.2">
      <c r="A67" s="46"/>
      <c r="B67" s="46" t="s">
        <v>83</v>
      </c>
      <c r="C67" s="46" t="s">
        <v>579</v>
      </c>
      <c r="D67" s="47" t="s">
        <v>408</v>
      </c>
      <c r="E67" s="48">
        <f>Source!CA62</f>
        <v>60</v>
      </c>
      <c r="F67" s="48"/>
      <c r="G67" s="48">
        <f>Source!AU62</f>
        <v>60</v>
      </c>
      <c r="H67" s="49"/>
      <c r="I67" s="50"/>
      <c r="J67" s="49"/>
      <c r="K67" s="50"/>
      <c r="L67" s="49">
        <f>SUM(BA55:BA68)</f>
        <v>12341.36</v>
      </c>
    </row>
    <row r="68" spans="1:83" ht="15" x14ac:dyDescent="0.2">
      <c r="C68" s="104" t="s">
        <v>580</v>
      </c>
      <c r="D68" s="104"/>
      <c r="E68" s="104"/>
      <c r="F68" s="104"/>
      <c r="G68" s="104"/>
      <c r="H68" s="104"/>
      <c r="I68" s="105">
        <f>K68/E55</f>
        <v>2577.870625</v>
      </c>
      <c r="J68" s="105"/>
      <c r="K68" s="105">
        <f>L56+L58+L66+L67+L59</f>
        <v>82491.86</v>
      </c>
      <c r="L68" s="105"/>
      <c r="AD68">
        <f>ROUND((Source!AT62/100)*((ROUND(SUMIF(SmtRes!AQ1:'SmtRes'!AQ4,"=1",SmtRes!AD1:'SmtRes'!AD4)*Source!I62, 2)+ROUND(SUMIF(SmtRes!AQ1:'SmtRes'!AQ4,"=1",SmtRes!AC1:'SmtRes'!AC4)*Source!I62, 2))), 2)</f>
        <v>50013.5</v>
      </c>
      <c r="AE68">
        <f>ROUND((Source!AU62/100)*((ROUND(SUMIF(SmtRes!AQ1:'SmtRes'!AQ4,"=1",SmtRes!AD1:'SmtRes'!AD4)*Source!I62, 2)+ROUND(SUMIF(SmtRes!AQ1:'SmtRes'!AQ4,"=1",SmtRes!AC1:'SmtRes'!AC4)*Source!I62, 2))), 2)</f>
        <v>29134.080000000002</v>
      </c>
      <c r="AN68" s="51">
        <f>L56+L58+L66+L67+L59</f>
        <v>82491.86</v>
      </c>
      <c r="AO68" s="51">
        <f>L58</f>
        <v>28395.569999999992</v>
      </c>
      <c r="AQ68" t="s">
        <v>581</v>
      </c>
      <c r="AR68" s="51">
        <f>L56</f>
        <v>12003.29</v>
      </c>
      <c r="AT68" s="51">
        <f>L59</f>
        <v>8565.64</v>
      </c>
      <c r="AV68" t="s">
        <v>581</v>
      </c>
      <c r="AW68">
        <f>0</f>
        <v>0</v>
      </c>
      <c r="AZ68">
        <f>Source!X62</f>
        <v>21186</v>
      </c>
      <c r="BA68">
        <f>Source!Y62</f>
        <v>12341.36</v>
      </c>
      <c r="CD68">
        <v>1</v>
      </c>
    </row>
    <row r="69" spans="1:83" ht="42.75" x14ac:dyDescent="0.2">
      <c r="A69" s="37" t="s">
        <v>84</v>
      </c>
      <c r="B69" s="39" t="s">
        <v>582</v>
      </c>
      <c r="C69" s="39" t="str">
        <f>Source!G63</f>
        <v>Вывоз конструкций и материалов опор ВЛ 0,38-10 кВ по трассе: одностоечных железобетонных опор</v>
      </c>
      <c r="D69" s="40" t="str">
        <f>Source!H63</f>
        <v>ШТ</v>
      </c>
      <c r="E69" s="41">
        <f>Source!K63</f>
        <v>32</v>
      </c>
      <c r="F69" s="41"/>
      <c r="G69" s="41">
        <f>Source!I63</f>
        <v>32</v>
      </c>
      <c r="H69" s="43"/>
      <c r="I69" s="42"/>
      <c r="J69" s="43"/>
      <c r="K69" s="42"/>
      <c r="L69" s="43"/>
    </row>
    <row r="70" spans="1:83" ht="15" x14ac:dyDescent="0.2">
      <c r="A70" s="38"/>
      <c r="B70" s="41">
        <v>1</v>
      </c>
      <c r="C70" s="38" t="s">
        <v>571</v>
      </c>
      <c r="D70" s="40" t="s">
        <v>372</v>
      </c>
      <c r="E70" s="44"/>
      <c r="F70" s="41"/>
      <c r="G70" s="44">
        <f>Source!U63</f>
        <v>14.08</v>
      </c>
      <c r="H70" s="41"/>
      <c r="I70" s="41"/>
      <c r="J70" s="41"/>
      <c r="K70" s="41"/>
      <c r="L70" s="45">
        <f>SUM(L71:L71)-SUMIF(CE71:CE71, 1, L71:L71)</f>
        <v>5876.01</v>
      </c>
    </row>
    <row r="71" spans="1:83" ht="14.25" x14ac:dyDescent="0.2">
      <c r="A71" s="39"/>
      <c r="B71" s="39" t="s">
        <v>384</v>
      </c>
      <c r="C71" s="39" t="s">
        <v>385</v>
      </c>
      <c r="D71" s="40" t="s">
        <v>372</v>
      </c>
      <c r="E71" s="41">
        <v>0.44</v>
      </c>
      <c r="F71" s="41"/>
      <c r="G71" s="41">
        <f>SmtRes!CX5</f>
        <v>14.08</v>
      </c>
      <c r="H71" s="43"/>
      <c r="I71" s="42"/>
      <c r="J71" s="43">
        <f>SmtRes!CZ5</f>
        <v>417.33</v>
      </c>
      <c r="K71" s="42"/>
      <c r="L71" s="43">
        <f>SmtRes!DI5</f>
        <v>5876.01</v>
      </c>
    </row>
    <row r="72" spans="1:83" ht="15" x14ac:dyDescent="0.2">
      <c r="A72" s="38"/>
      <c r="B72" s="41">
        <v>2</v>
      </c>
      <c r="C72" s="38" t="s">
        <v>572</v>
      </c>
      <c r="D72" s="40"/>
      <c r="E72" s="44"/>
      <c r="F72" s="41"/>
      <c r="G72" s="44"/>
      <c r="H72" s="41"/>
      <c r="I72" s="41"/>
      <c r="J72" s="41"/>
      <c r="K72" s="41"/>
      <c r="L72" s="45">
        <f>SUM(L73:L78)-SUMIF(CE73:CE78, 1, L73:L78)</f>
        <v>16338.890000000003</v>
      </c>
    </row>
    <row r="73" spans="1:83" ht="15" x14ac:dyDescent="0.2">
      <c r="A73" s="38"/>
      <c r="B73" s="41"/>
      <c r="C73" s="38" t="s">
        <v>575</v>
      </c>
      <c r="D73" s="40" t="s">
        <v>372</v>
      </c>
      <c r="E73" s="44"/>
      <c r="F73" s="41"/>
      <c r="G73" s="44">
        <f>Source!V63</f>
        <v>15.36</v>
      </c>
      <c r="H73" s="41"/>
      <c r="I73" s="41"/>
      <c r="J73" s="41"/>
      <c r="K73" s="41"/>
      <c r="L73" s="45">
        <f>SUMIF(CE74:CE78, 1, L74:L78)</f>
        <v>8828.08</v>
      </c>
      <c r="CE73">
        <v>1</v>
      </c>
    </row>
    <row r="74" spans="1:83" ht="28.5" x14ac:dyDescent="0.2">
      <c r="A74" s="39"/>
      <c r="B74" s="39" t="s">
        <v>386</v>
      </c>
      <c r="C74" s="39" t="s">
        <v>388</v>
      </c>
      <c r="D74" s="40" t="s">
        <v>378</v>
      </c>
      <c r="E74" s="41">
        <v>0.24</v>
      </c>
      <c r="F74" s="41"/>
      <c r="G74" s="41">
        <f>SmtRes!CX7</f>
        <v>7.68</v>
      </c>
      <c r="H74" s="43"/>
      <c r="I74" s="42"/>
      <c r="J74" s="43">
        <f>SmtRes!CZ7</f>
        <v>1551.19</v>
      </c>
      <c r="K74" s="42"/>
      <c r="L74" s="43">
        <f>SmtRes!DG7</f>
        <v>11913.14</v>
      </c>
    </row>
    <row r="75" spans="1:83" ht="14.25" x14ac:dyDescent="0.2">
      <c r="A75" s="39"/>
      <c r="B75" s="39" t="s">
        <v>389</v>
      </c>
      <c r="C75" s="39" t="s">
        <v>583</v>
      </c>
      <c r="D75" s="40" t="s">
        <v>372</v>
      </c>
      <c r="E75" s="41">
        <f>SmtRes!DO7*SmtRes!AT7</f>
        <v>0.24</v>
      </c>
      <c r="F75" s="41"/>
      <c r="G75" s="41">
        <f>SmtRes!DO7*SmtRes!CX7</f>
        <v>7.68</v>
      </c>
      <c r="H75" s="43"/>
      <c r="I75" s="42"/>
      <c r="J75" s="43">
        <f>ROUND(SmtRes!AG7/SmtRes!DO7, 2)</f>
        <v>658.94</v>
      </c>
      <c r="K75" s="42"/>
      <c r="L75" s="43">
        <f>SmtRes!DH7</f>
        <v>5060.66</v>
      </c>
      <c r="CE75">
        <v>1</v>
      </c>
    </row>
    <row r="76" spans="1:83" ht="14.25" x14ac:dyDescent="0.2">
      <c r="A76" s="39"/>
      <c r="B76" s="39" t="s">
        <v>390</v>
      </c>
      <c r="C76" s="39" t="s">
        <v>392</v>
      </c>
      <c r="D76" s="40" t="s">
        <v>378</v>
      </c>
      <c r="E76" s="41">
        <v>0.24</v>
      </c>
      <c r="F76" s="41"/>
      <c r="G76" s="41">
        <f>SmtRes!CX8</f>
        <v>7.68</v>
      </c>
      <c r="H76" s="43"/>
      <c r="I76" s="42"/>
      <c r="J76" s="43">
        <f>SmtRes!CZ8</f>
        <v>16.66</v>
      </c>
      <c r="K76" s="42"/>
      <c r="L76" s="43">
        <f>SmtRes!DG8</f>
        <v>127.95</v>
      </c>
    </row>
    <row r="77" spans="1:83" ht="28.5" x14ac:dyDescent="0.2">
      <c r="A77" s="39"/>
      <c r="B77" s="39" t="s">
        <v>393</v>
      </c>
      <c r="C77" s="39" t="s">
        <v>395</v>
      </c>
      <c r="D77" s="40" t="s">
        <v>378</v>
      </c>
      <c r="E77" s="41">
        <v>0.24</v>
      </c>
      <c r="F77" s="41"/>
      <c r="G77" s="41">
        <f>SmtRes!CX9</f>
        <v>7.68</v>
      </c>
      <c r="H77" s="43">
        <f>SmtRes!CZ9</f>
        <v>482.42</v>
      </c>
      <c r="I77" s="42">
        <f>SmtRes!AJ9</f>
        <v>1.1599999999999999</v>
      </c>
      <c r="J77" s="43">
        <f>ROUND(H77*I77, 2)</f>
        <v>559.61</v>
      </c>
      <c r="K77" s="42"/>
      <c r="L77" s="43">
        <f>SmtRes!DG9</f>
        <v>4297.8</v>
      </c>
    </row>
    <row r="78" spans="1:83" ht="14.25" x14ac:dyDescent="0.2">
      <c r="A78" s="39"/>
      <c r="B78" s="39" t="s">
        <v>383</v>
      </c>
      <c r="C78" s="46" t="s">
        <v>574</v>
      </c>
      <c r="D78" s="47" t="s">
        <v>372</v>
      </c>
      <c r="E78" s="48">
        <f>SmtRes!DO9*SmtRes!AT9</f>
        <v>0.24</v>
      </c>
      <c r="F78" s="48"/>
      <c r="G78" s="48">
        <f>SmtRes!DO9*SmtRes!CX9</f>
        <v>7.68</v>
      </c>
      <c r="H78" s="49"/>
      <c r="I78" s="50"/>
      <c r="J78" s="49">
        <f>ROUND(SmtRes!AG9/SmtRes!DO9, 2)</f>
        <v>490.55</v>
      </c>
      <c r="K78" s="50"/>
      <c r="L78" s="49">
        <f>SmtRes!DH9</f>
        <v>3767.42</v>
      </c>
      <c r="CE78">
        <v>1</v>
      </c>
    </row>
    <row r="79" spans="1:83" ht="15" x14ac:dyDescent="0.2">
      <c r="A79" s="39"/>
      <c r="B79" s="39"/>
      <c r="C79" s="53" t="s">
        <v>576</v>
      </c>
      <c r="D79" s="40"/>
      <c r="E79" s="41"/>
      <c r="F79" s="41"/>
      <c r="G79" s="41"/>
      <c r="H79" s="43"/>
      <c r="I79" s="42"/>
      <c r="J79" s="43"/>
      <c r="K79" s="42"/>
      <c r="L79" s="43">
        <f>L70+L72+L73</f>
        <v>31042.980000000003</v>
      </c>
    </row>
    <row r="80" spans="1:83" ht="14.25" x14ac:dyDescent="0.2">
      <c r="A80" s="39"/>
      <c r="B80" s="39"/>
      <c r="C80" s="39" t="s">
        <v>577</v>
      </c>
      <c r="D80" s="40"/>
      <c r="E80" s="41"/>
      <c r="F80" s="41"/>
      <c r="G80" s="41"/>
      <c r="H80" s="43"/>
      <c r="I80" s="42"/>
      <c r="J80" s="43"/>
      <c r="K80" s="42"/>
      <c r="L80" s="43">
        <f>SUM(AR69:AR83)+SUM(AS69:AS83)+SUM(AT69:AT83)+SUM(AU69:AU83)+SUM(AV69:AV83)</f>
        <v>14704.09</v>
      </c>
    </row>
    <row r="81" spans="1:83" ht="14.25" x14ac:dyDescent="0.2">
      <c r="A81" s="39"/>
      <c r="B81" s="39" t="s">
        <v>82</v>
      </c>
      <c r="C81" s="39" t="s">
        <v>578</v>
      </c>
      <c r="D81" s="40" t="s">
        <v>408</v>
      </c>
      <c r="E81" s="41">
        <f>Source!BZ63</f>
        <v>103</v>
      </c>
      <c r="F81" s="41"/>
      <c r="G81" s="41">
        <f>Source!AT63</f>
        <v>103</v>
      </c>
      <c r="H81" s="43"/>
      <c r="I81" s="42"/>
      <c r="J81" s="43"/>
      <c r="K81" s="42"/>
      <c r="L81" s="43">
        <f>SUM(AZ69:AZ83)</f>
        <v>15145.21</v>
      </c>
    </row>
    <row r="82" spans="1:83" ht="14.25" x14ac:dyDescent="0.2">
      <c r="A82" s="46"/>
      <c r="B82" s="46" t="s">
        <v>83</v>
      </c>
      <c r="C82" s="46" t="s">
        <v>579</v>
      </c>
      <c r="D82" s="47" t="s">
        <v>408</v>
      </c>
      <c r="E82" s="48">
        <f>Source!CA63</f>
        <v>60</v>
      </c>
      <c r="F82" s="48"/>
      <c r="G82" s="48">
        <f>Source!AU63</f>
        <v>60</v>
      </c>
      <c r="H82" s="49"/>
      <c r="I82" s="50"/>
      <c r="J82" s="49"/>
      <c r="K82" s="50"/>
      <c r="L82" s="49">
        <f>SUM(BA69:BA83)</f>
        <v>8822.4500000000007</v>
      </c>
    </row>
    <row r="83" spans="1:83" ht="15" x14ac:dyDescent="0.2">
      <c r="C83" s="104" t="s">
        <v>580</v>
      </c>
      <c r="D83" s="104"/>
      <c r="E83" s="104"/>
      <c r="F83" s="104"/>
      <c r="G83" s="104"/>
      <c r="H83" s="104"/>
      <c r="I83" s="105">
        <f>K83/E69</f>
        <v>1719.0825</v>
      </c>
      <c r="J83" s="105"/>
      <c r="K83" s="105">
        <f>L70+L72+L81+L82+L73</f>
        <v>55010.64</v>
      </c>
      <c r="L83" s="105"/>
      <c r="AD83">
        <f>ROUND((Source!AT63/100)*((ROUND(SUMIF(SmtRes!AQ5:'SmtRes'!AQ9,"=1",SmtRes!AD5:'SmtRes'!AD9)*Source!I63, 2)+ROUND(SUMIF(SmtRes!AQ5:'SmtRes'!AQ9,"=1",SmtRes!AC5:'SmtRes'!AC9)*Source!I63, 2))), 2)</f>
        <v>51642.39</v>
      </c>
      <c r="AE83">
        <f>ROUND((Source!AU63/100)*((ROUND(SUMIF(SmtRes!AQ5:'SmtRes'!AQ9,"=1",SmtRes!AD5:'SmtRes'!AD9)*Source!I63, 2)+ROUND(SUMIF(SmtRes!AQ5:'SmtRes'!AQ9,"=1",SmtRes!AC5:'SmtRes'!AC9)*Source!I63, 2))), 2)</f>
        <v>30082.94</v>
      </c>
      <c r="AN83" s="51">
        <f>L70+L72+L81+L82+L73</f>
        <v>55010.64</v>
      </c>
      <c r="AO83" s="51">
        <f>L72</f>
        <v>16338.890000000003</v>
      </c>
      <c r="AQ83" t="s">
        <v>581</v>
      </c>
      <c r="AR83" s="51">
        <f>L70</f>
        <v>5876.01</v>
      </c>
      <c r="AT83" s="51">
        <f>L73</f>
        <v>8828.08</v>
      </c>
      <c r="AV83" t="s">
        <v>581</v>
      </c>
      <c r="AW83">
        <f>0</f>
        <v>0</v>
      </c>
      <c r="AZ83">
        <f>Source!X63</f>
        <v>15145.21</v>
      </c>
      <c r="BA83">
        <f>Source!Y63</f>
        <v>8822.4500000000007</v>
      </c>
      <c r="CD83">
        <v>1</v>
      </c>
    </row>
    <row r="84" spans="1:83" ht="42.75" x14ac:dyDescent="0.2">
      <c r="A84" s="37" t="s">
        <v>88</v>
      </c>
      <c r="B84" s="39" t="s">
        <v>584</v>
      </c>
      <c r="C84" s="39" t="str">
        <f>Source!G64</f>
        <v>Вывоз конструкций и материалов опор ВЛ 0,38-10 кВ по трассе: материалов оснастки одностоечных опор</v>
      </c>
      <c r="D84" s="40" t="str">
        <f>Source!H64</f>
        <v>ШТ</v>
      </c>
      <c r="E84" s="41">
        <f>Source!K64</f>
        <v>32</v>
      </c>
      <c r="F84" s="41"/>
      <c r="G84" s="41">
        <f>Source!I64</f>
        <v>32</v>
      </c>
      <c r="H84" s="43"/>
      <c r="I84" s="42"/>
      <c r="J84" s="43"/>
      <c r="K84" s="42"/>
      <c r="L84" s="43"/>
    </row>
    <row r="85" spans="1:83" ht="15" x14ac:dyDescent="0.2">
      <c r="A85" s="38"/>
      <c r="B85" s="41">
        <v>1</v>
      </c>
      <c r="C85" s="38" t="s">
        <v>571</v>
      </c>
      <c r="D85" s="40" t="s">
        <v>372</v>
      </c>
      <c r="E85" s="44"/>
      <c r="F85" s="41"/>
      <c r="G85" s="44">
        <f>Source!U64</f>
        <v>8</v>
      </c>
      <c r="H85" s="41"/>
      <c r="I85" s="41"/>
      <c r="J85" s="41"/>
      <c r="K85" s="41"/>
      <c r="L85" s="45">
        <f>SUM(L86:L86)-SUMIF(CE86:CE86, 1, L86:L86)</f>
        <v>3338.64</v>
      </c>
    </row>
    <row r="86" spans="1:83" ht="14.25" x14ac:dyDescent="0.2">
      <c r="A86" s="39"/>
      <c r="B86" s="39" t="s">
        <v>384</v>
      </c>
      <c r="C86" s="39" t="s">
        <v>385</v>
      </c>
      <c r="D86" s="40" t="s">
        <v>372</v>
      </c>
      <c r="E86" s="41">
        <v>0.25</v>
      </c>
      <c r="F86" s="41"/>
      <c r="G86" s="41">
        <f>SmtRes!CX10</f>
        <v>8</v>
      </c>
      <c r="H86" s="43"/>
      <c r="I86" s="42"/>
      <c r="J86" s="43">
        <f>SmtRes!CZ10</f>
        <v>417.33</v>
      </c>
      <c r="K86" s="42"/>
      <c r="L86" s="43">
        <f>SmtRes!DI10</f>
        <v>3338.64</v>
      </c>
    </row>
    <row r="87" spans="1:83" ht="15" x14ac:dyDescent="0.2">
      <c r="A87" s="38"/>
      <c r="B87" s="41">
        <v>2</v>
      </c>
      <c r="C87" s="38" t="s">
        <v>572</v>
      </c>
      <c r="D87" s="40"/>
      <c r="E87" s="44"/>
      <c r="F87" s="41"/>
      <c r="G87" s="44"/>
      <c r="H87" s="41"/>
      <c r="I87" s="41"/>
      <c r="J87" s="41"/>
      <c r="K87" s="41"/>
      <c r="L87" s="45">
        <f>SUM(L88:L91)-SUMIF(CE88:CE91, 1, L88:L91)</f>
        <v>2581.6900000000005</v>
      </c>
    </row>
    <row r="88" spans="1:83" ht="15" x14ac:dyDescent="0.2">
      <c r="A88" s="38"/>
      <c r="B88" s="41"/>
      <c r="C88" s="38" t="s">
        <v>575</v>
      </c>
      <c r="D88" s="40" t="s">
        <v>372</v>
      </c>
      <c r="E88" s="44"/>
      <c r="F88" s="41"/>
      <c r="G88" s="44">
        <f>Source!V64</f>
        <v>4.4800000000000004</v>
      </c>
      <c r="H88" s="41"/>
      <c r="I88" s="41"/>
      <c r="J88" s="41"/>
      <c r="K88" s="41"/>
      <c r="L88" s="45">
        <f>SUMIF(CE89:CE91, 1, L89:L91)</f>
        <v>2197.66</v>
      </c>
      <c r="CE88">
        <v>1</v>
      </c>
    </row>
    <row r="89" spans="1:83" ht="14.25" x14ac:dyDescent="0.2">
      <c r="A89" s="39"/>
      <c r="B89" s="39" t="s">
        <v>390</v>
      </c>
      <c r="C89" s="39" t="s">
        <v>392</v>
      </c>
      <c r="D89" s="40" t="s">
        <v>378</v>
      </c>
      <c r="E89" s="41">
        <v>0.14000000000000001</v>
      </c>
      <c r="F89" s="41"/>
      <c r="G89" s="41">
        <f>SmtRes!CX12</f>
        <v>4.4800000000000004</v>
      </c>
      <c r="H89" s="43"/>
      <c r="I89" s="42"/>
      <c r="J89" s="43">
        <f>SmtRes!CZ12</f>
        <v>16.66</v>
      </c>
      <c r="K89" s="42"/>
      <c r="L89" s="43">
        <f>SmtRes!DG12</f>
        <v>74.64</v>
      </c>
    </row>
    <row r="90" spans="1:83" ht="28.5" x14ac:dyDescent="0.2">
      <c r="A90" s="39"/>
      <c r="B90" s="39" t="s">
        <v>393</v>
      </c>
      <c r="C90" s="39" t="s">
        <v>395</v>
      </c>
      <c r="D90" s="40" t="s">
        <v>378</v>
      </c>
      <c r="E90" s="41">
        <v>0.14000000000000001</v>
      </c>
      <c r="F90" s="41"/>
      <c r="G90" s="41">
        <f>SmtRes!CX13</f>
        <v>4.4800000000000004</v>
      </c>
      <c r="H90" s="43">
        <f>SmtRes!CZ13</f>
        <v>482.42</v>
      </c>
      <c r="I90" s="42">
        <f>SmtRes!AJ13</f>
        <v>1.1599999999999999</v>
      </c>
      <c r="J90" s="43">
        <f>ROUND(H90*I90, 2)</f>
        <v>559.61</v>
      </c>
      <c r="K90" s="42"/>
      <c r="L90" s="43">
        <f>SmtRes!DG13</f>
        <v>2507.0500000000002</v>
      </c>
    </row>
    <row r="91" spans="1:83" ht="14.25" x14ac:dyDescent="0.2">
      <c r="A91" s="39"/>
      <c r="B91" s="39" t="s">
        <v>383</v>
      </c>
      <c r="C91" s="46" t="s">
        <v>574</v>
      </c>
      <c r="D91" s="47" t="s">
        <v>372</v>
      </c>
      <c r="E91" s="48">
        <f>SmtRes!DO13*SmtRes!AT13</f>
        <v>0.14000000000000001</v>
      </c>
      <c r="F91" s="48"/>
      <c r="G91" s="48">
        <f>SmtRes!DO13*SmtRes!CX13</f>
        <v>4.4800000000000004</v>
      </c>
      <c r="H91" s="49"/>
      <c r="I91" s="50"/>
      <c r="J91" s="49">
        <f>ROUND(SmtRes!AG13/SmtRes!DO13, 2)</f>
        <v>490.55</v>
      </c>
      <c r="K91" s="50"/>
      <c r="L91" s="49">
        <f>SmtRes!DH13</f>
        <v>2197.66</v>
      </c>
      <c r="CE91">
        <v>1</v>
      </c>
    </row>
    <row r="92" spans="1:83" ht="15" x14ac:dyDescent="0.2">
      <c r="A92" s="39"/>
      <c r="B92" s="39"/>
      <c r="C92" s="53" t="s">
        <v>576</v>
      </c>
      <c r="D92" s="40"/>
      <c r="E92" s="41"/>
      <c r="F92" s="41"/>
      <c r="G92" s="41"/>
      <c r="H92" s="43"/>
      <c r="I92" s="42"/>
      <c r="J92" s="43"/>
      <c r="K92" s="42"/>
      <c r="L92" s="43">
        <f>L85+L87+L88</f>
        <v>8117.99</v>
      </c>
    </row>
    <row r="93" spans="1:83" ht="14.25" x14ac:dyDescent="0.2">
      <c r="A93" s="39"/>
      <c r="B93" s="39"/>
      <c r="C93" s="39" t="s">
        <v>577</v>
      </c>
      <c r="D93" s="40"/>
      <c r="E93" s="41"/>
      <c r="F93" s="41"/>
      <c r="G93" s="41"/>
      <c r="H93" s="43"/>
      <c r="I93" s="42"/>
      <c r="J93" s="43"/>
      <c r="K93" s="42"/>
      <c r="L93" s="43">
        <f>SUM(AR84:AR96)+SUM(AS84:AS96)+SUM(AT84:AT96)+SUM(AU84:AU96)+SUM(AV84:AV96)</f>
        <v>5536.2999999999993</v>
      </c>
    </row>
    <row r="94" spans="1:83" ht="14.25" x14ac:dyDescent="0.2">
      <c r="A94" s="39"/>
      <c r="B94" s="39" t="s">
        <v>82</v>
      </c>
      <c r="C94" s="39" t="s">
        <v>578</v>
      </c>
      <c r="D94" s="40" t="s">
        <v>408</v>
      </c>
      <c r="E94" s="41">
        <f>Source!BZ64</f>
        <v>103</v>
      </c>
      <c r="F94" s="41"/>
      <c r="G94" s="41">
        <f>Source!AT64</f>
        <v>103</v>
      </c>
      <c r="H94" s="43"/>
      <c r="I94" s="42"/>
      <c r="J94" s="43"/>
      <c r="K94" s="42"/>
      <c r="L94" s="43">
        <f>SUM(AZ84:AZ96)</f>
        <v>5702.39</v>
      </c>
    </row>
    <row r="95" spans="1:83" ht="14.25" x14ac:dyDescent="0.2">
      <c r="A95" s="46"/>
      <c r="B95" s="46" t="s">
        <v>83</v>
      </c>
      <c r="C95" s="46" t="s">
        <v>579</v>
      </c>
      <c r="D95" s="47" t="s">
        <v>408</v>
      </c>
      <c r="E95" s="48">
        <f>Source!CA64</f>
        <v>60</v>
      </c>
      <c r="F95" s="48"/>
      <c r="G95" s="48">
        <f>Source!AU64</f>
        <v>60</v>
      </c>
      <c r="H95" s="49"/>
      <c r="I95" s="50"/>
      <c r="J95" s="49"/>
      <c r="K95" s="50"/>
      <c r="L95" s="49">
        <f>SUM(BA84:BA96)</f>
        <v>3321.78</v>
      </c>
    </row>
    <row r="96" spans="1:83" ht="15" x14ac:dyDescent="0.2">
      <c r="C96" s="104" t="s">
        <v>580</v>
      </c>
      <c r="D96" s="104"/>
      <c r="E96" s="104"/>
      <c r="F96" s="104"/>
      <c r="G96" s="104"/>
      <c r="H96" s="104"/>
      <c r="I96" s="105">
        <f>K96/E84</f>
        <v>535.69250000000011</v>
      </c>
      <c r="J96" s="105"/>
      <c r="K96" s="105">
        <f>L85+L87+L94+L95+L88</f>
        <v>17142.160000000003</v>
      </c>
      <c r="L96" s="105"/>
      <c r="AD96">
        <f>ROUND((Source!AT64/100)*((ROUND(SUMIF(SmtRes!AQ10:'SmtRes'!AQ13,"=1",SmtRes!AD10:'SmtRes'!AD13)*Source!I64, 2)+ROUND(SUMIF(SmtRes!AQ10:'SmtRes'!AQ13,"=1",SmtRes!AC10:'SmtRes'!AC13)*Source!I64, 2))), 2)</f>
        <v>29923.72</v>
      </c>
      <c r="AE96">
        <f>ROUND((Source!AU64/100)*((ROUND(SUMIF(SmtRes!AQ10:'SmtRes'!AQ13,"=1",SmtRes!AD10:'SmtRes'!AD13)*Source!I64, 2)+ROUND(SUMIF(SmtRes!AQ10:'SmtRes'!AQ13,"=1",SmtRes!AC10:'SmtRes'!AC13)*Source!I64, 2))), 2)</f>
        <v>17431.3</v>
      </c>
      <c r="AN96" s="51">
        <f>L85+L87+L94+L95+L88</f>
        <v>17142.160000000003</v>
      </c>
      <c r="AO96" s="51">
        <f>L87</f>
        <v>2581.6900000000005</v>
      </c>
      <c r="AQ96" t="s">
        <v>581</v>
      </c>
      <c r="AR96" s="51">
        <f>L85</f>
        <v>3338.64</v>
      </c>
      <c r="AT96" s="51">
        <f>L88</f>
        <v>2197.66</v>
      </c>
      <c r="AV96" t="s">
        <v>581</v>
      </c>
      <c r="AW96">
        <f>0</f>
        <v>0</v>
      </c>
      <c r="AZ96">
        <f>Source!X64</f>
        <v>5702.39</v>
      </c>
      <c r="BA96">
        <f>Source!Y64</f>
        <v>3321.78</v>
      </c>
      <c r="CD96">
        <v>1</v>
      </c>
    </row>
    <row r="97" spans="1:83" ht="28.5" x14ac:dyDescent="0.2">
      <c r="A97" s="37" t="s">
        <v>92</v>
      </c>
      <c r="B97" s="39" t="s">
        <v>585</v>
      </c>
      <c r="C97" s="39" t="str">
        <f>Source!G65</f>
        <v>Демонтаж: 3-х проводов ВЛ 0,38 кВ с одной опоры</v>
      </c>
      <c r="D97" s="40" t="str">
        <f>Source!H65</f>
        <v>ШТ</v>
      </c>
      <c r="E97" s="41">
        <f>Source!K65</f>
        <v>32</v>
      </c>
      <c r="F97" s="41"/>
      <c r="G97" s="41">
        <f>Source!I65</f>
        <v>32</v>
      </c>
      <c r="H97" s="43"/>
      <c r="I97" s="42"/>
      <c r="J97" s="43"/>
      <c r="K97" s="42"/>
      <c r="L97" s="43"/>
    </row>
    <row r="98" spans="1:83" ht="15" x14ac:dyDescent="0.2">
      <c r="A98" s="38"/>
      <c r="B98" s="41">
        <v>1</v>
      </c>
      <c r="C98" s="38" t="s">
        <v>571</v>
      </c>
      <c r="D98" s="40" t="s">
        <v>372</v>
      </c>
      <c r="E98" s="44"/>
      <c r="F98" s="41"/>
      <c r="G98" s="44">
        <f>Source!U65</f>
        <v>40.64</v>
      </c>
      <c r="H98" s="41"/>
      <c r="I98" s="41"/>
      <c r="J98" s="41"/>
      <c r="K98" s="41"/>
      <c r="L98" s="45">
        <f>SUM(L99:L99)-SUMIF(CE99:CE99, 1, L99:L99)</f>
        <v>17406.52</v>
      </c>
    </row>
    <row r="99" spans="1:83" ht="14.25" x14ac:dyDescent="0.2">
      <c r="A99" s="39"/>
      <c r="B99" s="39" t="s">
        <v>396</v>
      </c>
      <c r="C99" s="39" t="s">
        <v>397</v>
      </c>
      <c r="D99" s="40" t="s">
        <v>372</v>
      </c>
      <c r="E99" s="41">
        <v>1.27</v>
      </c>
      <c r="F99" s="41"/>
      <c r="G99" s="41">
        <f>SmtRes!CX14</f>
        <v>40.64</v>
      </c>
      <c r="H99" s="43"/>
      <c r="I99" s="42"/>
      <c r="J99" s="43">
        <f>SmtRes!CZ14</f>
        <v>428.31</v>
      </c>
      <c r="K99" s="42"/>
      <c r="L99" s="43">
        <f>SmtRes!DI14</f>
        <v>17406.52</v>
      </c>
    </row>
    <row r="100" spans="1:83" ht="15" x14ac:dyDescent="0.2">
      <c r="A100" s="38"/>
      <c r="B100" s="41">
        <v>2</v>
      </c>
      <c r="C100" s="38" t="s">
        <v>572</v>
      </c>
      <c r="D100" s="40"/>
      <c r="E100" s="44"/>
      <c r="F100" s="41"/>
      <c r="G100" s="44"/>
      <c r="H100" s="41"/>
      <c r="I100" s="41"/>
      <c r="J100" s="41"/>
      <c r="K100" s="41"/>
      <c r="L100" s="45">
        <f>SUM(L101:L105)-SUMIF(CE101:CE105, 1, L101:L105)</f>
        <v>6391.66</v>
      </c>
    </row>
    <row r="101" spans="1:83" ht="15" x14ac:dyDescent="0.2">
      <c r="A101" s="38"/>
      <c r="B101" s="41"/>
      <c r="C101" s="38" t="s">
        <v>575</v>
      </c>
      <c r="D101" s="40" t="s">
        <v>372</v>
      </c>
      <c r="E101" s="44"/>
      <c r="F101" s="41"/>
      <c r="G101" s="44">
        <f>Source!V65</f>
        <v>13.12</v>
      </c>
      <c r="H101" s="41"/>
      <c r="I101" s="41"/>
      <c r="J101" s="41"/>
      <c r="K101" s="41"/>
      <c r="L101" s="45">
        <f>SUMIF(CE102:CE105, 1, L102:L105)</f>
        <v>6436.0199999999995</v>
      </c>
      <c r="CE101">
        <v>1</v>
      </c>
    </row>
    <row r="102" spans="1:83" ht="14.25" x14ac:dyDescent="0.2">
      <c r="A102" s="39"/>
      <c r="B102" s="39" t="s">
        <v>398</v>
      </c>
      <c r="C102" s="39" t="s">
        <v>400</v>
      </c>
      <c r="D102" s="40" t="s">
        <v>378</v>
      </c>
      <c r="E102" s="41">
        <v>0.35</v>
      </c>
      <c r="F102" s="41"/>
      <c r="G102" s="41">
        <f>SmtRes!CX16</f>
        <v>11.2</v>
      </c>
      <c r="H102" s="43">
        <f>SmtRes!CZ16</f>
        <v>346.73</v>
      </c>
      <c r="I102" s="42">
        <f>SmtRes!AJ16</f>
        <v>1.36</v>
      </c>
      <c r="J102" s="43">
        <f>ROUND(H102*I102, 2)</f>
        <v>471.55</v>
      </c>
      <c r="K102" s="42"/>
      <c r="L102" s="43">
        <f>SmtRes!DG16</f>
        <v>5281.36</v>
      </c>
    </row>
    <row r="103" spans="1:83" ht="14.25" x14ac:dyDescent="0.2">
      <c r="A103" s="39"/>
      <c r="B103" s="39" t="s">
        <v>383</v>
      </c>
      <c r="C103" s="39" t="s">
        <v>574</v>
      </c>
      <c r="D103" s="40" t="s">
        <v>372</v>
      </c>
      <c r="E103" s="41">
        <f>SmtRes!DO16*SmtRes!AT16</f>
        <v>0.35</v>
      </c>
      <c r="F103" s="41"/>
      <c r="G103" s="41">
        <f>SmtRes!DO16*SmtRes!CX16</f>
        <v>11.2</v>
      </c>
      <c r="H103" s="43"/>
      <c r="I103" s="42"/>
      <c r="J103" s="43">
        <f>ROUND(SmtRes!AG16/SmtRes!DO16, 2)</f>
        <v>490.55</v>
      </c>
      <c r="K103" s="42"/>
      <c r="L103" s="43">
        <f>SmtRes!DH16</f>
        <v>5494.16</v>
      </c>
      <c r="CE103">
        <v>1</v>
      </c>
    </row>
    <row r="104" spans="1:83" ht="28.5" x14ac:dyDescent="0.2">
      <c r="A104" s="39"/>
      <c r="B104" s="39" t="s">
        <v>380</v>
      </c>
      <c r="C104" s="39" t="s">
        <v>382</v>
      </c>
      <c r="D104" s="40" t="s">
        <v>378</v>
      </c>
      <c r="E104" s="41">
        <v>0.06</v>
      </c>
      <c r="F104" s="41"/>
      <c r="G104" s="41">
        <f>SmtRes!CX17</f>
        <v>1.92</v>
      </c>
      <c r="H104" s="43">
        <f>SmtRes!CZ17</f>
        <v>477.92</v>
      </c>
      <c r="I104" s="42">
        <f>SmtRes!AJ17</f>
        <v>1.21</v>
      </c>
      <c r="J104" s="43">
        <f>ROUND(H104*I104, 2)</f>
        <v>578.28</v>
      </c>
      <c r="K104" s="42"/>
      <c r="L104" s="43">
        <f>SmtRes!DG17</f>
        <v>1110.3</v>
      </c>
    </row>
    <row r="105" spans="1:83" ht="14.25" x14ac:dyDescent="0.2">
      <c r="A105" s="39"/>
      <c r="B105" s="39" t="s">
        <v>383</v>
      </c>
      <c r="C105" s="46" t="s">
        <v>574</v>
      </c>
      <c r="D105" s="47" t="s">
        <v>372</v>
      </c>
      <c r="E105" s="48">
        <f>SmtRes!DO17*SmtRes!AT17</f>
        <v>0.06</v>
      </c>
      <c r="F105" s="48"/>
      <c r="G105" s="48">
        <f>SmtRes!DO17*SmtRes!CX17</f>
        <v>1.92</v>
      </c>
      <c r="H105" s="49"/>
      <c r="I105" s="50"/>
      <c r="J105" s="49">
        <f>ROUND(SmtRes!AG17/SmtRes!DO17, 2)</f>
        <v>490.55</v>
      </c>
      <c r="K105" s="50"/>
      <c r="L105" s="49">
        <f>SmtRes!DH17</f>
        <v>941.86</v>
      </c>
      <c r="CE105">
        <v>1</v>
      </c>
    </row>
    <row r="106" spans="1:83" ht="15" x14ac:dyDescent="0.2">
      <c r="A106" s="39"/>
      <c r="B106" s="39"/>
      <c r="C106" s="53" t="s">
        <v>576</v>
      </c>
      <c r="D106" s="40"/>
      <c r="E106" s="41"/>
      <c r="F106" s="41"/>
      <c r="G106" s="41"/>
      <c r="H106" s="43"/>
      <c r="I106" s="42"/>
      <c r="J106" s="43"/>
      <c r="K106" s="42"/>
      <c r="L106" s="43">
        <f>L98+L100+L101</f>
        <v>30234.2</v>
      </c>
    </row>
    <row r="107" spans="1:83" ht="14.25" x14ac:dyDescent="0.2">
      <c r="A107" s="39"/>
      <c r="B107" s="39"/>
      <c r="C107" s="39" t="s">
        <v>577</v>
      </c>
      <c r="D107" s="40"/>
      <c r="E107" s="41"/>
      <c r="F107" s="41"/>
      <c r="G107" s="41"/>
      <c r="H107" s="43"/>
      <c r="I107" s="42"/>
      <c r="J107" s="43"/>
      <c r="K107" s="42"/>
      <c r="L107" s="43">
        <f>SUM(AR97:AR110)+SUM(AS97:AS110)+SUM(AT97:AT110)+SUM(AU97:AU110)+SUM(AV97:AV110)</f>
        <v>23842.54</v>
      </c>
    </row>
    <row r="108" spans="1:83" ht="14.25" x14ac:dyDescent="0.2">
      <c r="A108" s="39"/>
      <c r="B108" s="39" t="s">
        <v>82</v>
      </c>
      <c r="C108" s="39" t="s">
        <v>578</v>
      </c>
      <c r="D108" s="40" t="s">
        <v>408</v>
      </c>
      <c r="E108" s="41">
        <f>Source!BZ65</f>
        <v>103</v>
      </c>
      <c r="F108" s="41"/>
      <c r="G108" s="41">
        <f>Source!AT65</f>
        <v>103</v>
      </c>
      <c r="H108" s="43"/>
      <c r="I108" s="42"/>
      <c r="J108" s="43"/>
      <c r="K108" s="42"/>
      <c r="L108" s="43">
        <f>SUM(AZ97:AZ110)</f>
        <v>24557.82</v>
      </c>
    </row>
    <row r="109" spans="1:83" ht="14.25" x14ac:dyDescent="0.2">
      <c r="A109" s="46"/>
      <c r="B109" s="46" t="s">
        <v>83</v>
      </c>
      <c r="C109" s="46" t="s">
        <v>579</v>
      </c>
      <c r="D109" s="47" t="s">
        <v>408</v>
      </c>
      <c r="E109" s="48">
        <f>Source!CA65</f>
        <v>60</v>
      </c>
      <c r="F109" s="48"/>
      <c r="G109" s="48">
        <f>Source!AU65</f>
        <v>60</v>
      </c>
      <c r="H109" s="49"/>
      <c r="I109" s="50"/>
      <c r="J109" s="49"/>
      <c r="K109" s="50"/>
      <c r="L109" s="49">
        <f>SUM(BA97:BA110)</f>
        <v>14305.52</v>
      </c>
    </row>
    <row r="110" spans="1:83" ht="15" x14ac:dyDescent="0.2">
      <c r="C110" s="104" t="s">
        <v>580</v>
      </c>
      <c r="D110" s="104"/>
      <c r="E110" s="104"/>
      <c r="F110" s="104"/>
      <c r="G110" s="104"/>
      <c r="H110" s="104"/>
      <c r="I110" s="105">
        <f>K110/E97</f>
        <v>2159.2981250000003</v>
      </c>
      <c r="J110" s="105"/>
      <c r="K110" s="105">
        <f>L98+L100+L108+L109+L101</f>
        <v>69097.540000000008</v>
      </c>
      <c r="L110" s="105"/>
      <c r="AD110">
        <f>ROUND((Source!AT65/100)*((ROUND(SUMIF(SmtRes!AQ14:'SmtRes'!AQ17,"=1",SmtRes!AD14:'SmtRes'!AD17)*Source!I65, 2)+ROUND(SUMIF(SmtRes!AQ14:'SmtRes'!AQ17,"=1",SmtRes!AC14:'SmtRes'!AC17)*Source!I65, 2))), 2)</f>
        <v>46454.15</v>
      </c>
      <c r="AE110">
        <f>ROUND((Source!AU65/100)*((ROUND(SUMIF(SmtRes!AQ14:'SmtRes'!AQ17,"=1",SmtRes!AD14:'SmtRes'!AD17)*Source!I65, 2)+ROUND(SUMIF(SmtRes!AQ14:'SmtRes'!AQ17,"=1",SmtRes!AC14:'SmtRes'!AC17)*Source!I65, 2))), 2)</f>
        <v>27060.67</v>
      </c>
      <c r="AN110" s="51">
        <f>L98+L100+L108+L109+L101</f>
        <v>69097.540000000008</v>
      </c>
      <c r="AO110" s="51">
        <f>L100</f>
        <v>6391.66</v>
      </c>
      <c r="AQ110" t="s">
        <v>581</v>
      </c>
      <c r="AR110" s="51">
        <f>L98</f>
        <v>17406.52</v>
      </c>
      <c r="AT110" s="51">
        <f>L101</f>
        <v>6436.0199999999995</v>
      </c>
      <c r="AV110" t="s">
        <v>581</v>
      </c>
      <c r="AW110">
        <f>0</f>
        <v>0</v>
      </c>
      <c r="AZ110">
        <f>Source!X65</f>
        <v>24557.82</v>
      </c>
      <c r="BA110">
        <f>Source!Y65</f>
        <v>14305.52</v>
      </c>
      <c r="CD110">
        <v>1</v>
      </c>
    </row>
    <row r="111" spans="1:83" ht="92.25" x14ac:dyDescent="0.2">
      <c r="A111" s="37" t="s">
        <v>96</v>
      </c>
      <c r="B111" s="39" t="s">
        <v>586</v>
      </c>
      <c r="C111" s="39" t="s">
        <v>587</v>
      </c>
      <c r="D111" s="40" t="str">
        <f>Source!H66</f>
        <v>ШТ</v>
      </c>
      <c r="E111" s="41">
        <f>Source!K66</f>
        <v>32</v>
      </c>
      <c r="F111" s="41"/>
      <c r="G111" s="41">
        <f>Source!I66</f>
        <v>32</v>
      </c>
      <c r="H111" s="43"/>
      <c r="I111" s="42"/>
      <c r="J111" s="43"/>
      <c r="K111" s="42"/>
      <c r="L111" s="43"/>
    </row>
    <row r="112" spans="1:83" ht="15" x14ac:dyDescent="0.2">
      <c r="A112" s="38"/>
      <c r="B112" s="41">
        <v>1</v>
      </c>
      <c r="C112" s="38" t="s">
        <v>571</v>
      </c>
      <c r="D112" s="40" t="s">
        <v>372</v>
      </c>
      <c r="E112" s="44"/>
      <c r="F112" s="41"/>
      <c r="G112" s="44">
        <f>Source!U66</f>
        <v>9.6</v>
      </c>
      <c r="H112" s="41"/>
      <c r="I112" s="41"/>
      <c r="J112" s="41"/>
      <c r="K112" s="41"/>
      <c r="L112" s="45">
        <f>SUM(L113:L113)-SUMIF(CE113:CE113, 1, L113:L113)</f>
        <v>4041.5</v>
      </c>
    </row>
    <row r="113" spans="1:83" ht="14.25" x14ac:dyDescent="0.2">
      <c r="A113" s="39"/>
      <c r="B113" s="39" t="s">
        <v>401</v>
      </c>
      <c r="C113" s="39" t="s">
        <v>402</v>
      </c>
      <c r="D113" s="40" t="s">
        <v>372</v>
      </c>
      <c r="E113" s="41">
        <v>0.15</v>
      </c>
      <c r="F113" s="41">
        <f>ROUND(2,7)</f>
        <v>2</v>
      </c>
      <c r="G113" s="41">
        <f>SmtRes!CX18</f>
        <v>9.6</v>
      </c>
      <c r="H113" s="43"/>
      <c r="I113" s="42"/>
      <c r="J113" s="43">
        <f>SmtRes!CZ18</f>
        <v>420.99</v>
      </c>
      <c r="K113" s="42"/>
      <c r="L113" s="43">
        <f>SmtRes!DI18</f>
        <v>4041.5</v>
      </c>
    </row>
    <row r="114" spans="1:83" ht="15" x14ac:dyDescent="0.2">
      <c r="A114" s="38"/>
      <c r="B114" s="41">
        <v>2</v>
      </c>
      <c r="C114" s="38" t="s">
        <v>572</v>
      </c>
      <c r="D114" s="40"/>
      <c r="E114" s="44"/>
      <c r="F114" s="41"/>
      <c r="G114" s="44"/>
      <c r="H114" s="41"/>
      <c r="I114" s="41"/>
      <c r="J114" s="41"/>
      <c r="K114" s="41"/>
      <c r="L114" s="45">
        <f>SUM(L115:L119)-SUMIF(CE115:CE119, 1, L115:L119)</f>
        <v>2482.6400000000003</v>
      </c>
    </row>
    <row r="115" spans="1:83" ht="15" x14ac:dyDescent="0.2">
      <c r="A115" s="38"/>
      <c r="B115" s="41"/>
      <c r="C115" s="38" t="s">
        <v>575</v>
      </c>
      <c r="D115" s="40" t="s">
        <v>372</v>
      </c>
      <c r="E115" s="44"/>
      <c r="F115" s="41"/>
      <c r="G115" s="44">
        <f>Source!V66</f>
        <v>5.12</v>
      </c>
      <c r="H115" s="41"/>
      <c r="I115" s="41"/>
      <c r="J115" s="41"/>
      <c r="K115" s="41"/>
      <c r="L115" s="45">
        <f>SUMIF(CE116:CE119, 1, L116:L119)</f>
        <v>2511.6099999999997</v>
      </c>
      <c r="CE115">
        <v>1</v>
      </c>
    </row>
    <row r="116" spans="1:83" ht="14.25" x14ac:dyDescent="0.2">
      <c r="A116" s="39"/>
      <c r="B116" s="39" t="s">
        <v>398</v>
      </c>
      <c r="C116" s="39" t="s">
        <v>400</v>
      </c>
      <c r="D116" s="40" t="s">
        <v>378</v>
      </c>
      <c r="E116" s="41">
        <v>7.0000000000000007E-2</v>
      </c>
      <c r="F116" s="41">
        <f>ROUND(2,7)</f>
        <v>2</v>
      </c>
      <c r="G116" s="41">
        <f>SmtRes!CX20</f>
        <v>4.4800000000000004</v>
      </c>
      <c r="H116" s="43">
        <f>SmtRes!CZ20</f>
        <v>346.73</v>
      </c>
      <c r="I116" s="42">
        <f>SmtRes!AJ20</f>
        <v>1.36</v>
      </c>
      <c r="J116" s="43">
        <f>ROUND(H116*I116, 2)</f>
        <v>471.55</v>
      </c>
      <c r="K116" s="42"/>
      <c r="L116" s="43">
        <f>SmtRes!DG20</f>
        <v>2112.54</v>
      </c>
    </row>
    <row r="117" spans="1:83" ht="14.25" x14ac:dyDescent="0.2">
      <c r="A117" s="39"/>
      <c r="B117" s="39" t="s">
        <v>383</v>
      </c>
      <c r="C117" s="39" t="s">
        <v>574</v>
      </c>
      <c r="D117" s="40" t="s">
        <v>372</v>
      </c>
      <c r="E117" s="41">
        <f>SmtRes!DO20*SmtRes!AT20</f>
        <v>7.0000000000000007E-2</v>
      </c>
      <c r="F117" s="41">
        <f>ROUND(2,7)</f>
        <v>2</v>
      </c>
      <c r="G117" s="41">
        <f>SmtRes!DO20*SmtRes!CX20</f>
        <v>4.4800000000000004</v>
      </c>
      <c r="H117" s="43"/>
      <c r="I117" s="42"/>
      <c r="J117" s="43">
        <f>ROUND(SmtRes!AG20/SmtRes!DO20, 2)</f>
        <v>490.55</v>
      </c>
      <c r="K117" s="42"/>
      <c r="L117" s="43">
        <f>SmtRes!DH20</f>
        <v>2197.66</v>
      </c>
      <c r="CE117">
        <v>1</v>
      </c>
    </row>
    <row r="118" spans="1:83" ht="28.5" x14ac:dyDescent="0.2">
      <c r="A118" s="39"/>
      <c r="B118" s="39" t="s">
        <v>380</v>
      </c>
      <c r="C118" s="39" t="s">
        <v>382</v>
      </c>
      <c r="D118" s="40" t="s">
        <v>378</v>
      </c>
      <c r="E118" s="41">
        <v>0.01</v>
      </c>
      <c r="F118" s="41">
        <f>ROUND(2,7)</f>
        <v>2</v>
      </c>
      <c r="G118" s="41">
        <f>SmtRes!CX21</f>
        <v>0.64</v>
      </c>
      <c r="H118" s="43">
        <f>SmtRes!CZ21</f>
        <v>477.92</v>
      </c>
      <c r="I118" s="42">
        <f>SmtRes!AJ21</f>
        <v>1.21</v>
      </c>
      <c r="J118" s="43">
        <f>ROUND(H118*I118, 2)</f>
        <v>578.28</v>
      </c>
      <c r="K118" s="42"/>
      <c r="L118" s="43">
        <f>SmtRes!DG21</f>
        <v>370.1</v>
      </c>
    </row>
    <row r="119" spans="1:83" ht="14.25" x14ac:dyDescent="0.2">
      <c r="A119" s="39"/>
      <c r="B119" s="39" t="s">
        <v>383</v>
      </c>
      <c r="C119" s="46" t="s">
        <v>574</v>
      </c>
      <c r="D119" s="47" t="s">
        <v>372</v>
      </c>
      <c r="E119" s="48">
        <f>SmtRes!DO21*SmtRes!AT21</f>
        <v>0.01</v>
      </c>
      <c r="F119" s="48">
        <f>ROUND(2,7)</f>
        <v>2</v>
      </c>
      <c r="G119" s="48">
        <f>SmtRes!DO21*SmtRes!CX21</f>
        <v>0.64</v>
      </c>
      <c r="H119" s="49"/>
      <c r="I119" s="50"/>
      <c r="J119" s="49">
        <f>ROUND(SmtRes!AG21/SmtRes!DO21, 2)</f>
        <v>490.55</v>
      </c>
      <c r="K119" s="50"/>
      <c r="L119" s="49">
        <f>SmtRes!DH21</f>
        <v>313.95</v>
      </c>
      <c r="CE119">
        <v>1</v>
      </c>
    </row>
    <row r="120" spans="1:83" ht="15" x14ac:dyDescent="0.2">
      <c r="A120" s="39"/>
      <c r="B120" s="39"/>
      <c r="C120" s="53" t="s">
        <v>576</v>
      </c>
      <c r="D120" s="40"/>
      <c r="E120" s="41"/>
      <c r="F120" s="41"/>
      <c r="G120" s="41"/>
      <c r="H120" s="43"/>
      <c r="I120" s="42"/>
      <c r="J120" s="43"/>
      <c r="K120" s="42"/>
      <c r="L120" s="43">
        <f>L112+L114+L115</f>
        <v>9035.75</v>
      </c>
    </row>
    <row r="121" spans="1:83" ht="14.25" x14ac:dyDescent="0.2">
      <c r="A121" s="39"/>
      <c r="B121" s="39"/>
      <c r="C121" s="39" t="s">
        <v>577</v>
      </c>
      <c r="D121" s="40"/>
      <c r="E121" s="41"/>
      <c r="F121" s="41"/>
      <c r="G121" s="41"/>
      <c r="H121" s="43"/>
      <c r="I121" s="42"/>
      <c r="J121" s="43"/>
      <c r="K121" s="42"/>
      <c r="L121" s="43">
        <f>SUM(AR111:AR124)+SUM(AS111:AS124)+SUM(AT111:AT124)+SUM(AU111:AU124)+SUM(AV111:AV124)</f>
        <v>6553.11</v>
      </c>
    </row>
    <row r="122" spans="1:83" ht="14.25" x14ac:dyDescent="0.2">
      <c r="A122" s="39"/>
      <c r="B122" s="39" t="s">
        <v>82</v>
      </c>
      <c r="C122" s="39" t="s">
        <v>578</v>
      </c>
      <c r="D122" s="40" t="s">
        <v>408</v>
      </c>
      <c r="E122" s="41">
        <f>Source!BZ66</f>
        <v>103</v>
      </c>
      <c r="F122" s="41"/>
      <c r="G122" s="41">
        <f>Source!AT66</f>
        <v>103</v>
      </c>
      <c r="H122" s="43"/>
      <c r="I122" s="42"/>
      <c r="J122" s="43"/>
      <c r="K122" s="42"/>
      <c r="L122" s="43">
        <f>SUM(AZ111:AZ124)</f>
        <v>6749.7</v>
      </c>
    </row>
    <row r="123" spans="1:83" ht="14.25" x14ac:dyDescent="0.2">
      <c r="A123" s="46"/>
      <c r="B123" s="46" t="s">
        <v>83</v>
      </c>
      <c r="C123" s="46" t="s">
        <v>579</v>
      </c>
      <c r="D123" s="47" t="s">
        <v>408</v>
      </c>
      <c r="E123" s="48">
        <f>Source!CA66</f>
        <v>60</v>
      </c>
      <c r="F123" s="48"/>
      <c r="G123" s="48">
        <f>Source!AU66</f>
        <v>60</v>
      </c>
      <c r="H123" s="49"/>
      <c r="I123" s="50"/>
      <c r="J123" s="49"/>
      <c r="K123" s="50"/>
      <c r="L123" s="49">
        <f>SUM(BA111:BA124)</f>
        <v>3931.87</v>
      </c>
    </row>
    <row r="124" spans="1:83" ht="15" x14ac:dyDescent="0.2">
      <c r="C124" s="104" t="s">
        <v>580</v>
      </c>
      <c r="D124" s="104"/>
      <c r="E124" s="104"/>
      <c r="F124" s="104"/>
      <c r="G124" s="104"/>
      <c r="H124" s="104"/>
      <c r="I124" s="105">
        <f>K124/E111</f>
        <v>616.16624999999999</v>
      </c>
      <c r="J124" s="105"/>
      <c r="K124" s="105">
        <f>L112+L114+L122+L123+L115</f>
        <v>19717.32</v>
      </c>
      <c r="L124" s="105"/>
      <c r="AD124">
        <f>ROUND((Source!AT66/100)*((ROUND(SUMIF(SmtRes!AQ18:'SmtRes'!AQ21,"=1",SmtRes!AD18:'SmtRes'!AD21)*Source!I66, 2)+ROUND(SUMIF(SmtRes!AQ18:'SmtRes'!AQ21,"=1",SmtRes!AC18:'SmtRes'!AC21)*Source!I66, 2))), 2)</f>
        <v>46212.89</v>
      </c>
      <c r="AE124">
        <f>ROUND((Source!AU66/100)*((ROUND(SUMIF(SmtRes!AQ18:'SmtRes'!AQ21,"=1",SmtRes!AD18:'SmtRes'!AD21)*Source!I66, 2)+ROUND(SUMIF(SmtRes!AQ18:'SmtRes'!AQ21,"=1",SmtRes!AC18:'SmtRes'!AC21)*Source!I66, 2))), 2)</f>
        <v>26920.13</v>
      </c>
      <c r="AN124" s="51">
        <f>L112+L114+L122+L123+L115</f>
        <v>19717.32</v>
      </c>
      <c r="AO124" s="51">
        <f>L114</f>
        <v>2482.6400000000003</v>
      </c>
      <c r="AQ124" t="s">
        <v>581</v>
      </c>
      <c r="AR124" s="51">
        <f>L112</f>
        <v>4041.5</v>
      </c>
      <c r="AT124" s="51">
        <f>L115</f>
        <v>2511.6099999999997</v>
      </c>
      <c r="AV124" t="s">
        <v>581</v>
      </c>
      <c r="AW124">
        <f>0</f>
        <v>0</v>
      </c>
      <c r="AZ124">
        <f>Source!X66</f>
        <v>6749.7</v>
      </c>
      <c r="BA124">
        <f>Source!Y66</f>
        <v>3931.87</v>
      </c>
      <c r="CD124">
        <v>1</v>
      </c>
    </row>
    <row r="125" spans="1:83" ht="28.5" x14ac:dyDescent="0.2">
      <c r="A125" s="37" t="s">
        <v>101</v>
      </c>
      <c r="B125" s="39" t="s">
        <v>588</v>
      </c>
      <c r="C125" s="39" t="str">
        <f>Source!G67</f>
        <v>Снятие ответвлений ВЛ 0,38 кВ к зданиям при количестве проводов в ответвлении: 1</v>
      </c>
      <c r="D125" s="40" t="str">
        <f>Source!H67</f>
        <v>ответвление</v>
      </c>
      <c r="E125" s="41">
        <f>Source!K67</f>
        <v>60</v>
      </c>
      <c r="F125" s="41"/>
      <c r="G125" s="41">
        <f>Source!I67</f>
        <v>60</v>
      </c>
      <c r="H125" s="43"/>
      <c r="I125" s="42"/>
      <c r="J125" s="43"/>
      <c r="K125" s="42"/>
      <c r="L125" s="43"/>
    </row>
    <row r="126" spans="1:83" ht="15" x14ac:dyDescent="0.2">
      <c r="A126" s="38"/>
      <c r="B126" s="41">
        <v>1</v>
      </c>
      <c r="C126" s="38" t="s">
        <v>571</v>
      </c>
      <c r="D126" s="40" t="s">
        <v>372</v>
      </c>
      <c r="E126" s="44"/>
      <c r="F126" s="41"/>
      <c r="G126" s="44">
        <f>Source!U67</f>
        <v>36.6</v>
      </c>
      <c r="H126" s="41"/>
      <c r="I126" s="41"/>
      <c r="J126" s="41"/>
      <c r="K126" s="41"/>
      <c r="L126" s="45">
        <f>SUM(L127:L127)-SUMIF(CE127:CE127, 1, L127:L127)</f>
        <v>15274.28</v>
      </c>
    </row>
    <row r="127" spans="1:83" ht="14.25" x14ac:dyDescent="0.2">
      <c r="A127" s="39"/>
      <c r="B127" s="39" t="s">
        <v>384</v>
      </c>
      <c r="C127" s="39" t="s">
        <v>403</v>
      </c>
      <c r="D127" s="40" t="s">
        <v>372</v>
      </c>
      <c r="E127" s="41">
        <v>0.61</v>
      </c>
      <c r="F127" s="41"/>
      <c r="G127" s="41">
        <f>SmtRes!CX22</f>
        <v>36.6</v>
      </c>
      <c r="H127" s="43"/>
      <c r="I127" s="42"/>
      <c r="J127" s="43">
        <f>SmtRes!CZ22</f>
        <v>417.33</v>
      </c>
      <c r="K127" s="42"/>
      <c r="L127" s="43">
        <f>SmtRes!DI22</f>
        <v>15274.28</v>
      </c>
    </row>
    <row r="128" spans="1:83" ht="15" x14ac:dyDescent="0.2">
      <c r="A128" s="38"/>
      <c r="B128" s="41">
        <v>2</v>
      </c>
      <c r="C128" s="38" t="s">
        <v>572</v>
      </c>
      <c r="D128" s="40"/>
      <c r="E128" s="44"/>
      <c r="F128" s="41"/>
      <c r="G128" s="44"/>
      <c r="H128" s="41"/>
      <c r="I128" s="41"/>
      <c r="J128" s="41"/>
      <c r="K128" s="41"/>
      <c r="L128" s="45">
        <f>SUM(L129:L131)-SUMIF(CE129:CE131, 1, L129:L131)</f>
        <v>1040.9000000000001</v>
      </c>
    </row>
    <row r="129" spans="1:83" ht="15" x14ac:dyDescent="0.2">
      <c r="A129" s="38"/>
      <c r="B129" s="41"/>
      <c r="C129" s="38" t="s">
        <v>575</v>
      </c>
      <c r="D129" s="40" t="s">
        <v>372</v>
      </c>
      <c r="E129" s="44"/>
      <c r="F129" s="41"/>
      <c r="G129" s="44">
        <f>Source!V67</f>
        <v>1.8</v>
      </c>
      <c r="H129" s="41"/>
      <c r="I129" s="41"/>
      <c r="J129" s="41"/>
      <c r="K129" s="41"/>
      <c r="L129" s="45">
        <f>SUMIF(CE130:CE131, 1, L130:L131)</f>
        <v>882.99</v>
      </c>
      <c r="CE129">
        <v>1</v>
      </c>
    </row>
    <row r="130" spans="1:83" ht="28.5" x14ac:dyDescent="0.2">
      <c r="A130" s="39"/>
      <c r="B130" s="39" t="s">
        <v>380</v>
      </c>
      <c r="C130" s="39" t="s">
        <v>382</v>
      </c>
      <c r="D130" s="40" t="s">
        <v>378</v>
      </c>
      <c r="E130" s="41">
        <v>0.03</v>
      </c>
      <c r="F130" s="41"/>
      <c r="G130" s="41">
        <f>SmtRes!CX24</f>
        <v>1.8</v>
      </c>
      <c r="H130" s="43">
        <f>SmtRes!CZ24</f>
        <v>477.92</v>
      </c>
      <c r="I130" s="42">
        <f>SmtRes!AJ24</f>
        <v>1.21</v>
      </c>
      <c r="J130" s="43">
        <f>ROUND(H130*I130, 2)</f>
        <v>578.28</v>
      </c>
      <c r="K130" s="42"/>
      <c r="L130" s="43">
        <f>SmtRes!DG24</f>
        <v>1040.9000000000001</v>
      </c>
    </row>
    <row r="131" spans="1:83" ht="14.25" x14ac:dyDescent="0.2">
      <c r="A131" s="39"/>
      <c r="B131" s="39" t="s">
        <v>383</v>
      </c>
      <c r="C131" s="46" t="s">
        <v>574</v>
      </c>
      <c r="D131" s="47" t="s">
        <v>372</v>
      </c>
      <c r="E131" s="48">
        <f>SmtRes!DO24*SmtRes!AT24</f>
        <v>0.03</v>
      </c>
      <c r="F131" s="48"/>
      <c r="G131" s="48">
        <f>SmtRes!DO24*SmtRes!CX24</f>
        <v>1.8</v>
      </c>
      <c r="H131" s="49"/>
      <c r="I131" s="50"/>
      <c r="J131" s="49">
        <f>ROUND(SmtRes!AG24/SmtRes!DO24, 2)</f>
        <v>490.55</v>
      </c>
      <c r="K131" s="50"/>
      <c r="L131" s="49">
        <f>SmtRes!DH24</f>
        <v>882.99</v>
      </c>
      <c r="CE131">
        <v>1</v>
      </c>
    </row>
    <row r="132" spans="1:83" ht="15" x14ac:dyDescent="0.2">
      <c r="A132" s="39"/>
      <c r="B132" s="39"/>
      <c r="C132" s="53" t="s">
        <v>576</v>
      </c>
      <c r="D132" s="40"/>
      <c r="E132" s="41"/>
      <c r="F132" s="41"/>
      <c r="G132" s="41"/>
      <c r="H132" s="43"/>
      <c r="I132" s="42"/>
      <c r="J132" s="43"/>
      <c r="K132" s="42"/>
      <c r="L132" s="43">
        <f>L126+L128+L129</f>
        <v>17198.170000000002</v>
      </c>
    </row>
    <row r="133" spans="1:83" ht="14.25" x14ac:dyDescent="0.2">
      <c r="A133" s="39"/>
      <c r="B133" s="39"/>
      <c r="C133" s="39" t="s">
        <v>577</v>
      </c>
      <c r="D133" s="40"/>
      <c r="E133" s="41"/>
      <c r="F133" s="41"/>
      <c r="G133" s="41"/>
      <c r="H133" s="43"/>
      <c r="I133" s="42"/>
      <c r="J133" s="43"/>
      <c r="K133" s="42"/>
      <c r="L133" s="43">
        <f>SUM(AR125:AR136)+SUM(AS125:AS136)+SUM(AT125:AT136)+SUM(AU125:AU136)+SUM(AV125:AV136)</f>
        <v>16157.27</v>
      </c>
    </row>
    <row r="134" spans="1:83" ht="14.25" x14ac:dyDescent="0.2">
      <c r="A134" s="39"/>
      <c r="B134" s="39" t="s">
        <v>82</v>
      </c>
      <c r="C134" s="39" t="s">
        <v>578</v>
      </c>
      <c r="D134" s="40" t="s">
        <v>408</v>
      </c>
      <c r="E134" s="41">
        <f>Source!BZ67</f>
        <v>103</v>
      </c>
      <c r="F134" s="41"/>
      <c r="G134" s="41">
        <f>Source!AT67</f>
        <v>103</v>
      </c>
      <c r="H134" s="43"/>
      <c r="I134" s="42"/>
      <c r="J134" s="43"/>
      <c r="K134" s="42"/>
      <c r="L134" s="43">
        <f>SUM(AZ125:AZ136)</f>
        <v>16641.990000000002</v>
      </c>
    </row>
    <row r="135" spans="1:83" ht="14.25" x14ac:dyDescent="0.2">
      <c r="A135" s="46"/>
      <c r="B135" s="46" t="s">
        <v>83</v>
      </c>
      <c r="C135" s="46" t="s">
        <v>579</v>
      </c>
      <c r="D135" s="47" t="s">
        <v>408</v>
      </c>
      <c r="E135" s="48">
        <f>Source!CA67</f>
        <v>60</v>
      </c>
      <c r="F135" s="48"/>
      <c r="G135" s="48">
        <f>Source!AU67</f>
        <v>60</v>
      </c>
      <c r="H135" s="49"/>
      <c r="I135" s="50"/>
      <c r="J135" s="49"/>
      <c r="K135" s="50"/>
      <c r="L135" s="49">
        <f>SUM(BA125:BA136)</f>
        <v>9694.36</v>
      </c>
    </row>
    <row r="136" spans="1:83" ht="15" x14ac:dyDescent="0.2">
      <c r="C136" s="104" t="s">
        <v>580</v>
      </c>
      <c r="D136" s="104"/>
      <c r="E136" s="104"/>
      <c r="F136" s="104"/>
      <c r="G136" s="104"/>
      <c r="H136" s="104"/>
      <c r="I136" s="105">
        <f>K136/E125</f>
        <v>725.57533333333333</v>
      </c>
      <c r="J136" s="105"/>
      <c r="K136" s="105">
        <f>L126+L128+L134+L135+L129</f>
        <v>43534.52</v>
      </c>
      <c r="L136" s="105"/>
      <c r="AD136">
        <f>ROUND((Source!AT67/100)*((ROUND(SUMIF(SmtRes!AQ22:'SmtRes'!AQ24,"=1",SmtRes!AD22:'SmtRes'!AD24)*Source!I67, 2)+ROUND(SUMIF(SmtRes!AQ22:'SmtRes'!AQ24,"=1",SmtRes!AC22:'SmtRes'!AC24)*Source!I67, 2))), 2)</f>
        <v>56106.98</v>
      </c>
      <c r="AE136">
        <f>ROUND((Source!AU67/100)*((ROUND(SUMIF(SmtRes!AQ22:'SmtRes'!AQ24,"=1",SmtRes!AD22:'SmtRes'!AD24)*Source!I67, 2)+ROUND(SUMIF(SmtRes!AQ22:'SmtRes'!AQ24,"=1",SmtRes!AC22:'SmtRes'!AC24)*Source!I67, 2))), 2)</f>
        <v>32683.68</v>
      </c>
      <c r="AN136" s="51">
        <f>L126+L128+L134+L135+L129</f>
        <v>43534.52</v>
      </c>
      <c r="AO136" s="51">
        <f>L128</f>
        <v>1040.9000000000001</v>
      </c>
      <c r="AQ136" t="s">
        <v>581</v>
      </c>
      <c r="AR136" s="51">
        <f>L126</f>
        <v>15274.28</v>
      </c>
      <c r="AT136" s="51">
        <f>L129</f>
        <v>882.99</v>
      </c>
      <c r="AV136" t="s">
        <v>581</v>
      </c>
      <c r="AW136">
        <f>0</f>
        <v>0</v>
      </c>
      <c r="AZ136">
        <f>Source!X67</f>
        <v>16641.990000000002</v>
      </c>
      <c r="BA136">
        <f>Source!Y67</f>
        <v>9694.36</v>
      </c>
      <c r="CD136">
        <v>1</v>
      </c>
    </row>
    <row r="137" spans="1:83" ht="28.5" x14ac:dyDescent="0.2">
      <c r="A137" s="37" t="s">
        <v>106</v>
      </c>
      <c r="B137" s="39" t="s">
        <v>589</v>
      </c>
      <c r="C137" s="39" t="str">
        <f>Source!G68</f>
        <v>Демонтаж: Траверса на опоре</v>
      </c>
      <c r="D137" s="40" t="str">
        <f>Source!H68</f>
        <v>ШТ</v>
      </c>
      <c r="E137" s="41">
        <f>Source!K68</f>
        <v>64</v>
      </c>
      <c r="F137" s="41"/>
      <c r="G137" s="41">
        <f>Source!I68</f>
        <v>64</v>
      </c>
      <c r="H137" s="43"/>
      <c r="I137" s="42"/>
      <c r="J137" s="43"/>
      <c r="K137" s="42"/>
      <c r="L137" s="43"/>
    </row>
    <row r="138" spans="1:83" ht="25.5" x14ac:dyDescent="0.2">
      <c r="B138" s="56" t="s">
        <v>524</v>
      </c>
      <c r="C138" s="120" t="s">
        <v>590</v>
      </c>
      <c r="D138" s="120"/>
      <c r="E138" s="120"/>
      <c r="F138" s="120"/>
      <c r="G138" s="120"/>
      <c r="H138" s="120"/>
      <c r="I138" s="120"/>
      <c r="J138" s="120"/>
      <c r="K138" s="120"/>
      <c r="L138" s="120"/>
    </row>
    <row r="139" spans="1:83" ht="15" x14ac:dyDescent="0.2">
      <c r="A139" s="38"/>
      <c r="B139" s="41">
        <v>1</v>
      </c>
      <c r="C139" s="38" t="s">
        <v>571</v>
      </c>
      <c r="D139" s="40" t="s">
        <v>372</v>
      </c>
      <c r="E139" s="44"/>
      <c r="F139" s="41"/>
      <c r="G139" s="44">
        <f>Source!U68</f>
        <v>6.72</v>
      </c>
      <c r="H139" s="41"/>
      <c r="I139" s="41"/>
      <c r="J139" s="41"/>
      <c r="K139" s="41"/>
      <c r="L139" s="45">
        <f>SUM(L140:L140)-SUMIF(CE140:CE140, 1, L140:L140)</f>
        <v>3148.86</v>
      </c>
    </row>
    <row r="140" spans="1:83" ht="14.25" x14ac:dyDescent="0.2">
      <c r="A140" s="39"/>
      <c r="B140" s="39" t="s">
        <v>404</v>
      </c>
      <c r="C140" s="39" t="s">
        <v>405</v>
      </c>
      <c r="D140" s="40" t="s">
        <v>372</v>
      </c>
      <c r="E140" s="41">
        <v>0.35</v>
      </c>
      <c r="F140" s="41">
        <f>ROUND(0.3,7)</f>
        <v>0.3</v>
      </c>
      <c r="G140" s="41">
        <f>SmtRes!CX25</f>
        <v>6.72</v>
      </c>
      <c r="H140" s="43"/>
      <c r="I140" s="42"/>
      <c r="J140" s="43">
        <f>SmtRes!CZ25</f>
        <v>468.58</v>
      </c>
      <c r="K140" s="42"/>
      <c r="L140" s="43">
        <f>SmtRes!DI25</f>
        <v>3148.86</v>
      </c>
    </row>
    <row r="141" spans="1:83" ht="15" x14ac:dyDescent="0.2">
      <c r="A141" s="38"/>
      <c r="B141" s="41">
        <v>2</v>
      </c>
      <c r="C141" s="38" t="s">
        <v>572</v>
      </c>
      <c r="D141" s="40"/>
      <c r="E141" s="44"/>
      <c r="F141" s="41"/>
      <c r="G141" s="44"/>
      <c r="H141" s="41"/>
      <c r="I141" s="41"/>
      <c r="J141" s="41"/>
      <c r="K141" s="41"/>
      <c r="L141" s="45">
        <f>SUM(L142:L144)-SUMIF(CE142:CE144, 1, L142:L144)</f>
        <v>4467.43</v>
      </c>
    </row>
    <row r="142" spans="1:83" ht="15" x14ac:dyDescent="0.2">
      <c r="A142" s="38"/>
      <c r="B142" s="41"/>
      <c r="C142" s="38" t="s">
        <v>575</v>
      </c>
      <c r="D142" s="40" t="s">
        <v>372</v>
      </c>
      <c r="E142" s="44"/>
      <c r="F142" s="41"/>
      <c r="G142" s="44">
        <f>Source!V68</f>
        <v>2.88</v>
      </c>
      <c r="H142" s="41"/>
      <c r="I142" s="41"/>
      <c r="J142" s="41"/>
      <c r="K142" s="41"/>
      <c r="L142" s="45">
        <f>SUMIF(CE143:CE144, 1, L143:L144)</f>
        <v>1897.75</v>
      </c>
      <c r="CE142">
        <v>1</v>
      </c>
    </row>
    <row r="143" spans="1:83" ht="28.5" x14ac:dyDescent="0.2">
      <c r="A143" s="39"/>
      <c r="B143" s="39" t="s">
        <v>386</v>
      </c>
      <c r="C143" s="39" t="s">
        <v>388</v>
      </c>
      <c r="D143" s="40" t="s">
        <v>378</v>
      </c>
      <c r="E143" s="41">
        <v>0.15</v>
      </c>
      <c r="F143" s="41">
        <f>ROUND(0.3,7)</f>
        <v>0.3</v>
      </c>
      <c r="G143" s="41">
        <f>SmtRes!CX27</f>
        <v>2.88</v>
      </c>
      <c r="H143" s="43"/>
      <c r="I143" s="42"/>
      <c r="J143" s="43">
        <f>SmtRes!CZ27</f>
        <v>1551.19</v>
      </c>
      <c r="K143" s="42"/>
      <c r="L143" s="43">
        <f>SmtRes!DG27</f>
        <v>4467.43</v>
      </c>
    </row>
    <row r="144" spans="1:83" ht="14.25" x14ac:dyDescent="0.2">
      <c r="A144" s="39"/>
      <c r="B144" s="39" t="s">
        <v>389</v>
      </c>
      <c r="C144" s="39" t="s">
        <v>583</v>
      </c>
      <c r="D144" s="40" t="s">
        <v>372</v>
      </c>
      <c r="E144" s="41">
        <f>SmtRes!DO27*SmtRes!AT27</f>
        <v>0.15</v>
      </c>
      <c r="F144" s="41">
        <f>ROUND(0.3,7)</f>
        <v>0.3</v>
      </c>
      <c r="G144" s="41">
        <f>SmtRes!DO27*SmtRes!CX27</f>
        <v>2.88</v>
      </c>
      <c r="H144" s="43"/>
      <c r="I144" s="42"/>
      <c r="J144" s="43">
        <f>ROUND(SmtRes!AG27/SmtRes!DO27, 2)</f>
        <v>658.94</v>
      </c>
      <c r="K144" s="42"/>
      <c r="L144" s="43">
        <f>SmtRes!DH27</f>
        <v>1897.75</v>
      </c>
      <c r="CE144">
        <v>1</v>
      </c>
    </row>
    <row r="145" spans="1:83" ht="15" x14ac:dyDescent="0.2">
      <c r="A145" s="38"/>
      <c r="B145" s="41">
        <v>4</v>
      </c>
      <c r="C145" s="57" t="s">
        <v>591</v>
      </c>
      <c r="D145" s="47"/>
      <c r="E145" s="58"/>
      <c r="F145" s="48"/>
      <c r="G145" s="58"/>
      <c r="H145" s="48"/>
      <c r="I145" s="48"/>
      <c r="J145" s="48"/>
      <c r="K145" s="48"/>
      <c r="L145" s="59">
        <f>0</f>
        <v>0</v>
      </c>
    </row>
    <row r="146" spans="1:83" ht="15" x14ac:dyDescent="0.2">
      <c r="A146" s="39"/>
      <c r="B146" s="39"/>
      <c r="C146" s="53" t="s">
        <v>576</v>
      </c>
      <c r="D146" s="40"/>
      <c r="E146" s="41"/>
      <c r="F146" s="41"/>
      <c r="G146" s="41"/>
      <c r="H146" s="43"/>
      <c r="I146" s="42"/>
      <c r="J146" s="43"/>
      <c r="K146" s="42"/>
      <c r="L146" s="43">
        <f>L139+L141+L142+L145</f>
        <v>9514.0400000000009</v>
      </c>
    </row>
    <row r="147" spans="1:83" ht="14.25" x14ac:dyDescent="0.2">
      <c r="A147" s="39"/>
      <c r="B147" s="39"/>
      <c r="C147" s="39" t="s">
        <v>577</v>
      </c>
      <c r="D147" s="40"/>
      <c r="E147" s="41"/>
      <c r="F147" s="41"/>
      <c r="G147" s="41"/>
      <c r="H147" s="43"/>
      <c r="I147" s="42"/>
      <c r="J147" s="43"/>
      <c r="K147" s="42"/>
      <c r="L147" s="43">
        <f>SUM(AR137:AR150)+SUM(AS137:AS150)+SUM(AT137:AT150)+SUM(AU137:AU150)+SUM(AV137:AV150)</f>
        <v>5046.6100000000006</v>
      </c>
    </row>
    <row r="148" spans="1:83" ht="28.5" x14ac:dyDescent="0.2">
      <c r="A148" s="39"/>
      <c r="B148" s="39" t="s">
        <v>117</v>
      </c>
      <c r="C148" s="39" t="s">
        <v>592</v>
      </c>
      <c r="D148" s="40" t="s">
        <v>408</v>
      </c>
      <c r="E148" s="41">
        <f>Source!BZ68</f>
        <v>97</v>
      </c>
      <c r="F148" s="41"/>
      <c r="G148" s="41">
        <f>Source!AT68</f>
        <v>97</v>
      </c>
      <c r="H148" s="43"/>
      <c r="I148" s="42"/>
      <c r="J148" s="43"/>
      <c r="K148" s="42"/>
      <c r="L148" s="43">
        <f>SUM(AZ137:AZ150)</f>
        <v>4895.21</v>
      </c>
    </row>
    <row r="149" spans="1:83" ht="28.5" x14ac:dyDescent="0.2">
      <c r="A149" s="46"/>
      <c r="B149" s="46" t="s">
        <v>118</v>
      </c>
      <c r="C149" s="46" t="s">
        <v>593</v>
      </c>
      <c r="D149" s="47" t="s">
        <v>408</v>
      </c>
      <c r="E149" s="48">
        <f>Source!CA68</f>
        <v>51</v>
      </c>
      <c r="F149" s="48"/>
      <c r="G149" s="48">
        <f>Source!AU68</f>
        <v>51</v>
      </c>
      <c r="H149" s="49"/>
      <c r="I149" s="50"/>
      <c r="J149" s="49"/>
      <c r="K149" s="50"/>
      <c r="L149" s="49">
        <f>SUM(BA137:BA150)</f>
        <v>2573.77</v>
      </c>
    </row>
    <row r="150" spans="1:83" ht="15" x14ac:dyDescent="0.2">
      <c r="C150" s="104" t="s">
        <v>580</v>
      </c>
      <c r="D150" s="104"/>
      <c r="E150" s="104"/>
      <c r="F150" s="104"/>
      <c r="G150" s="104"/>
      <c r="H150" s="104"/>
      <c r="I150" s="105">
        <f>K150/E137</f>
        <v>265.35968750000001</v>
      </c>
      <c r="J150" s="105"/>
      <c r="K150" s="105">
        <f>L139+L141+L145+L148+L149+L142</f>
        <v>16983.02</v>
      </c>
      <c r="L150" s="105"/>
      <c r="AD150">
        <f>ROUND((Source!AT68/100)*((ROUND(SUMIF(SmtRes!AQ25:'SmtRes'!AQ28,"=1",SmtRes!AD25:'SmtRes'!AD28)*Source!I68, 2)+ROUND(SUMIF(SmtRes!AQ25:'SmtRes'!AQ28,"=1",SmtRes!AC25:'SmtRes'!AC28)*Source!I68, 2))), 2)</f>
        <v>69996.44</v>
      </c>
      <c r="AE150">
        <f>ROUND((Source!AU68/100)*((ROUND(SUMIF(SmtRes!AQ25:'SmtRes'!AQ28,"=1",SmtRes!AD25:'SmtRes'!AD28)*Source!I68, 2)+ROUND(SUMIF(SmtRes!AQ25:'SmtRes'!AQ28,"=1",SmtRes!AC25:'SmtRes'!AC28)*Source!I68, 2))), 2)</f>
        <v>36802.25</v>
      </c>
      <c r="AN150" s="51">
        <f>L139+L141+L145+L148+L149+L142</f>
        <v>16983.02</v>
      </c>
      <c r="AO150" s="51">
        <f>L141</f>
        <v>4467.43</v>
      </c>
      <c r="AQ150" t="s">
        <v>581</v>
      </c>
      <c r="AR150" s="51">
        <f>L139</f>
        <v>3148.86</v>
      </c>
      <c r="AT150" s="51">
        <f>L142</f>
        <v>1897.75</v>
      </c>
      <c r="AV150" t="s">
        <v>581</v>
      </c>
      <c r="AW150" s="51">
        <f>L145</f>
        <v>0</v>
      </c>
      <c r="AZ150">
        <f>Source!X68</f>
        <v>4895.21</v>
      </c>
      <c r="BA150">
        <f>Source!Y68</f>
        <v>2573.77</v>
      </c>
      <c r="CD150">
        <v>2</v>
      </c>
    </row>
    <row r="151" spans="1:83" ht="28.5" x14ac:dyDescent="0.2">
      <c r="A151" s="37" t="s">
        <v>119</v>
      </c>
      <c r="B151" s="39" t="s">
        <v>594</v>
      </c>
      <c r="C151" s="39" t="str">
        <f>Source!G69</f>
        <v>Демонтаж: Изолятор опорный напряжением: до 10 кВ</v>
      </c>
      <c r="D151" s="40" t="str">
        <f>Source!H69</f>
        <v>ШТ</v>
      </c>
      <c r="E151" s="41">
        <f>Source!K69</f>
        <v>192</v>
      </c>
      <c r="F151" s="41"/>
      <c r="G151" s="41">
        <f>Source!I69</f>
        <v>192</v>
      </c>
      <c r="H151" s="43"/>
      <c r="I151" s="42"/>
      <c r="J151" s="43"/>
      <c r="K151" s="42"/>
      <c r="L151" s="43"/>
    </row>
    <row r="152" spans="1:83" ht="25.5" x14ac:dyDescent="0.2">
      <c r="B152" s="56" t="s">
        <v>524</v>
      </c>
      <c r="C152" s="120" t="s">
        <v>590</v>
      </c>
      <c r="D152" s="120"/>
      <c r="E152" s="120"/>
      <c r="F152" s="120"/>
      <c r="G152" s="120"/>
      <c r="H152" s="120"/>
      <c r="I152" s="120"/>
      <c r="J152" s="120"/>
      <c r="K152" s="120"/>
      <c r="L152" s="120"/>
    </row>
    <row r="153" spans="1:83" ht="15" x14ac:dyDescent="0.2">
      <c r="A153" s="38"/>
      <c r="B153" s="41">
        <v>1</v>
      </c>
      <c r="C153" s="38" t="s">
        <v>571</v>
      </c>
      <c r="D153" s="40" t="s">
        <v>372</v>
      </c>
      <c r="E153" s="44"/>
      <c r="F153" s="41"/>
      <c r="G153" s="44">
        <f>Source!U69</f>
        <v>23.04</v>
      </c>
      <c r="H153" s="41"/>
      <c r="I153" s="41"/>
      <c r="J153" s="41"/>
      <c r="K153" s="41"/>
      <c r="L153" s="45">
        <f>SUM(L154:L154)-SUMIF(CE154:CE154, 1, L154:L154)</f>
        <v>11302.27</v>
      </c>
    </row>
    <row r="154" spans="1:83" ht="14.25" x14ac:dyDescent="0.2">
      <c r="A154" s="39"/>
      <c r="B154" s="39" t="s">
        <v>409</v>
      </c>
      <c r="C154" s="39" t="s">
        <v>410</v>
      </c>
      <c r="D154" s="40" t="s">
        <v>372</v>
      </c>
      <c r="E154" s="41">
        <v>0.4</v>
      </c>
      <c r="F154" s="41">
        <f>ROUND(0.3,7)</f>
        <v>0.3</v>
      </c>
      <c r="G154" s="41">
        <f>SmtRes!CX29</f>
        <v>23.04</v>
      </c>
      <c r="H154" s="43"/>
      <c r="I154" s="42"/>
      <c r="J154" s="43">
        <f>SmtRes!CZ29</f>
        <v>490.55</v>
      </c>
      <c r="K154" s="42"/>
      <c r="L154" s="43">
        <f>SmtRes!DI29</f>
        <v>11302.27</v>
      </c>
    </row>
    <row r="155" spans="1:83" ht="15" x14ac:dyDescent="0.2">
      <c r="A155" s="38"/>
      <c r="B155" s="41">
        <v>2</v>
      </c>
      <c r="C155" s="38" t="s">
        <v>572</v>
      </c>
      <c r="D155" s="40"/>
      <c r="E155" s="44"/>
      <c r="F155" s="41"/>
      <c r="G155" s="44"/>
      <c r="H155" s="41"/>
      <c r="I155" s="41"/>
      <c r="J155" s="41"/>
      <c r="K155" s="41"/>
      <c r="L155" s="45">
        <f>SUM(L156:L160)-SUMIF(CE156:CE160, 1, L156:L160)</f>
        <v>858.60000000000014</v>
      </c>
    </row>
    <row r="156" spans="1:83" ht="15" x14ac:dyDescent="0.2">
      <c r="A156" s="38"/>
      <c r="B156" s="41"/>
      <c r="C156" s="38" t="s">
        <v>575</v>
      </c>
      <c r="D156" s="40" t="s">
        <v>372</v>
      </c>
      <c r="E156" s="44"/>
      <c r="F156" s="41"/>
      <c r="G156" s="44">
        <f>Source!V69</f>
        <v>0.80640000000000001</v>
      </c>
      <c r="H156" s="41"/>
      <c r="I156" s="41"/>
      <c r="J156" s="41"/>
      <c r="K156" s="41"/>
      <c r="L156" s="45">
        <f>SUMIF(CE157:CE160, 1, L157:L160)</f>
        <v>463.47</v>
      </c>
      <c r="CE156">
        <v>1</v>
      </c>
    </row>
    <row r="157" spans="1:83" ht="28.5" x14ac:dyDescent="0.2">
      <c r="A157" s="39"/>
      <c r="B157" s="39" t="s">
        <v>386</v>
      </c>
      <c r="C157" s="39" t="s">
        <v>388</v>
      </c>
      <c r="D157" s="40" t="s">
        <v>378</v>
      </c>
      <c r="E157" s="41">
        <v>7.0000000000000001E-3</v>
      </c>
      <c r="F157" s="41">
        <f>ROUND(0.3,7)</f>
        <v>0.3</v>
      </c>
      <c r="G157" s="41">
        <f>SmtRes!CX31</f>
        <v>0.4032</v>
      </c>
      <c r="H157" s="43"/>
      <c r="I157" s="42"/>
      <c r="J157" s="43">
        <f>SmtRes!CZ31</f>
        <v>1551.19</v>
      </c>
      <c r="K157" s="42"/>
      <c r="L157" s="43">
        <f>SmtRes!DG31</f>
        <v>625.44000000000005</v>
      </c>
    </row>
    <row r="158" spans="1:83" ht="14.25" x14ac:dyDescent="0.2">
      <c r="A158" s="39"/>
      <c r="B158" s="39" t="s">
        <v>389</v>
      </c>
      <c r="C158" s="39" t="s">
        <v>583</v>
      </c>
      <c r="D158" s="40" t="s">
        <v>372</v>
      </c>
      <c r="E158" s="41">
        <f>SmtRes!DO31*SmtRes!AT31</f>
        <v>7.0000000000000001E-3</v>
      </c>
      <c r="F158" s="41">
        <f>ROUND(0.3,7)</f>
        <v>0.3</v>
      </c>
      <c r="G158" s="41">
        <f>SmtRes!DO31*SmtRes!CX31</f>
        <v>0.4032</v>
      </c>
      <c r="H158" s="43"/>
      <c r="I158" s="42"/>
      <c r="J158" s="43">
        <f>ROUND(SmtRes!AG31/SmtRes!DO31, 2)</f>
        <v>658.94</v>
      </c>
      <c r="K158" s="42"/>
      <c r="L158" s="43">
        <f>SmtRes!DH31</f>
        <v>265.68</v>
      </c>
      <c r="CE158">
        <v>1</v>
      </c>
    </row>
    <row r="159" spans="1:83" ht="28.5" x14ac:dyDescent="0.2">
      <c r="A159" s="39"/>
      <c r="B159" s="39" t="s">
        <v>380</v>
      </c>
      <c r="C159" s="39" t="s">
        <v>382</v>
      </c>
      <c r="D159" s="40" t="s">
        <v>378</v>
      </c>
      <c r="E159" s="41">
        <v>7.0000000000000001E-3</v>
      </c>
      <c r="F159" s="41">
        <f>ROUND(0.3,7)</f>
        <v>0.3</v>
      </c>
      <c r="G159" s="41">
        <f>SmtRes!CX32</f>
        <v>0.4032</v>
      </c>
      <c r="H159" s="43">
        <f>SmtRes!CZ32</f>
        <v>477.92</v>
      </c>
      <c r="I159" s="42">
        <f>SmtRes!AJ32</f>
        <v>1.21</v>
      </c>
      <c r="J159" s="43">
        <f>ROUND(H159*I159, 2)</f>
        <v>578.28</v>
      </c>
      <c r="K159" s="42"/>
      <c r="L159" s="43">
        <f>SmtRes!DG32</f>
        <v>233.16</v>
      </c>
    </row>
    <row r="160" spans="1:83" ht="14.25" x14ac:dyDescent="0.2">
      <c r="A160" s="39"/>
      <c r="B160" s="39" t="s">
        <v>383</v>
      </c>
      <c r="C160" s="39" t="s">
        <v>574</v>
      </c>
      <c r="D160" s="40" t="s">
        <v>372</v>
      </c>
      <c r="E160" s="41">
        <f>SmtRes!DO32*SmtRes!AT32</f>
        <v>7.0000000000000001E-3</v>
      </c>
      <c r="F160" s="41">
        <f>ROUND(0.3,7)</f>
        <v>0.3</v>
      </c>
      <c r="G160" s="41">
        <f>SmtRes!DO32*SmtRes!CX32</f>
        <v>0.4032</v>
      </c>
      <c r="H160" s="43"/>
      <c r="I160" s="42"/>
      <c r="J160" s="43">
        <f>ROUND(SmtRes!AG32/SmtRes!DO32, 2)</f>
        <v>490.55</v>
      </c>
      <c r="K160" s="42"/>
      <c r="L160" s="43">
        <f>SmtRes!DH32</f>
        <v>197.79</v>
      </c>
      <c r="CE160">
        <v>1</v>
      </c>
    </row>
    <row r="161" spans="1:83" ht="15" x14ac:dyDescent="0.2">
      <c r="A161" s="38"/>
      <c r="B161" s="41">
        <v>4</v>
      </c>
      <c r="C161" s="38" t="s">
        <v>591</v>
      </c>
      <c r="D161" s="40"/>
      <c r="E161" s="44"/>
      <c r="F161" s="41"/>
      <c r="G161" s="44"/>
      <c r="H161" s="41"/>
      <c r="I161" s="41"/>
      <c r="J161" s="41"/>
      <c r="K161" s="41"/>
      <c r="L161" s="45">
        <f>SUM(L162:L162)-SUMIF(CE162:CE162, 1, L162:L162)</f>
        <v>0</v>
      </c>
    </row>
    <row r="162" spans="1:83" ht="14.25" x14ac:dyDescent="0.2">
      <c r="A162" s="39"/>
      <c r="B162" s="39" t="s">
        <v>411</v>
      </c>
      <c r="C162" s="46" t="s">
        <v>413</v>
      </c>
      <c r="D162" s="47" t="s">
        <v>253</v>
      </c>
      <c r="E162" s="48">
        <v>0.08</v>
      </c>
      <c r="F162" s="48">
        <f>ROUND(0,7)</f>
        <v>0</v>
      </c>
      <c r="G162" s="48">
        <f>SmtRes!CX33</f>
        <v>0</v>
      </c>
      <c r="H162" s="49">
        <f>SmtRes!CZ33</f>
        <v>174.93</v>
      </c>
      <c r="I162" s="50">
        <f>SmtRes!AI33</f>
        <v>1.1499999999999999</v>
      </c>
      <c r="J162" s="49">
        <f>ROUND(H162*I162, 2)</f>
        <v>201.17</v>
      </c>
      <c r="K162" s="50"/>
      <c r="L162" s="49">
        <f>SmtRes!DF33</f>
        <v>0</v>
      </c>
    </row>
    <row r="163" spans="1:83" ht="15" x14ac:dyDescent="0.2">
      <c r="A163" s="39"/>
      <c r="B163" s="39"/>
      <c r="C163" s="53" t="s">
        <v>576</v>
      </c>
      <c r="D163" s="40"/>
      <c r="E163" s="41"/>
      <c r="F163" s="41"/>
      <c r="G163" s="41"/>
      <c r="H163" s="43"/>
      <c r="I163" s="42"/>
      <c r="J163" s="43"/>
      <c r="K163" s="42"/>
      <c r="L163" s="43">
        <f>L153+L155+L156+L161</f>
        <v>12624.34</v>
      </c>
    </row>
    <row r="164" spans="1:83" ht="14.25" x14ac:dyDescent="0.2">
      <c r="A164" s="39"/>
      <c r="B164" s="39"/>
      <c r="C164" s="39" t="s">
        <v>577</v>
      </c>
      <c r="D164" s="40"/>
      <c r="E164" s="41"/>
      <c r="F164" s="41"/>
      <c r="G164" s="41"/>
      <c r="H164" s="43"/>
      <c r="I164" s="42"/>
      <c r="J164" s="43"/>
      <c r="K164" s="42"/>
      <c r="L164" s="43">
        <f>SUM(AR151:AR167)+SUM(AS151:AS167)+SUM(AT151:AT167)+SUM(AU151:AU167)+SUM(AV151:AV167)</f>
        <v>11765.74</v>
      </c>
    </row>
    <row r="165" spans="1:83" ht="28.5" x14ac:dyDescent="0.2">
      <c r="A165" s="39"/>
      <c r="B165" s="39" t="s">
        <v>117</v>
      </c>
      <c r="C165" s="39" t="s">
        <v>592</v>
      </c>
      <c r="D165" s="40" t="s">
        <v>408</v>
      </c>
      <c r="E165" s="41">
        <f>Source!BZ69</f>
        <v>97</v>
      </c>
      <c r="F165" s="41"/>
      <c r="G165" s="41">
        <f>Source!AT69</f>
        <v>97</v>
      </c>
      <c r="H165" s="43"/>
      <c r="I165" s="42"/>
      <c r="J165" s="43"/>
      <c r="K165" s="42"/>
      <c r="L165" s="43">
        <f>SUM(AZ151:AZ167)</f>
        <v>11412.77</v>
      </c>
    </row>
    <row r="166" spans="1:83" ht="28.5" x14ac:dyDescent="0.2">
      <c r="A166" s="46"/>
      <c r="B166" s="46" t="s">
        <v>118</v>
      </c>
      <c r="C166" s="46" t="s">
        <v>593</v>
      </c>
      <c r="D166" s="47" t="s">
        <v>408</v>
      </c>
      <c r="E166" s="48">
        <f>Source!CA69</f>
        <v>51</v>
      </c>
      <c r="F166" s="48"/>
      <c r="G166" s="48">
        <f>Source!AU69</f>
        <v>51</v>
      </c>
      <c r="H166" s="49"/>
      <c r="I166" s="50"/>
      <c r="J166" s="49"/>
      <c r="K166" s="50"/>
      <c r="L166" s="49">
        <f>SUM(BA151:BA167)</f>
        <v>6000.53</v>
      </c>
    </row>
    <row r="167" spans="1:83" ht="15" x14ac:dyDescent="0.2">
      <c r="C167" s="104" t="s">
        <v>580</v>
      </c>
      <c r="D167" s="104"/>
      <c r="E167" s="104"/>
      <c r="F167" s="104"/>
      <c r="G167" s="104"/>
      <c r="H167" s="104"/>
      <c r="I167" s="105">
        <f>K167/E151</f>
        <v>156.44604166666667</v>
      </c>
      <c r="J167" s="105"/>
      <c r="K167" s="105">
        <f>L153+L155+L161+L165+L166+L156</f>
        <v>30037.64</v>
      </c>
      <c r="L167" s="105"/>
      <c r="AD167">
        <f>ROUND((Source!AT69/100)*((ROUND(SUMIF(SmtRes!AQ29:'SmtRes'!AQ34,"=1",SmtRes!AD29:'SmtRes'!AD34)*Source!I69, 2)+ROUND(SUMIF(SmtRes!AQ29:'SmtRes'!AQ34,"=1",SmtRes!AC29:'SmtRes'!AC34)*Source!I69, 2))), 2)</f>
        <v>305441.05</v>
      </c>
      <c r="AE167">
        <f>ROUND((Source!AU69/100)*((ROUND(SUMIF(SmtRes!AQ29:'SmtRes'!AQ34,"=1",SmtRes!AD29:'SmtRes'!AD34)*Source!I69, 2)+ROUND(SUMIF(SmtRes!AQ29:'SmtRes'!AQ34,"=1",SmtRes!AC29:'SmtRes'!AC34)*Source!I69, 2))), 2)</f>
        <v>160592.72</v>
      </c>
      <c r="AN167" s="51">
        <f>L153+L155+L161+L165+L166+L156</f>
        <v>30037.64</v>
      </c>
      <c r="AO167" s="51">
        <f>L155</f>
        <v>858.60000000000014</v>
      </c>
      <c r="AQ167" t="s">
        <v>581</v>
      </c>
      <c r="AR167" s="51">
        <f>L153</f>
        <v>11302.27</v>
      </c>
      <c r="AT167" s="51">
        <f>L156</f>
        <v>463.47</v>
      </c>
      <c r="AV167" t="s">
        <v>581</v>
      </c>
      <c r="AW167" s="51">
        <f>L161</f>
        <v>0</v>
      </c>
      <c r="AZ167">
        <f>Source!X69</f>
        <v>11412.77</v>
      </c>
      <c r="BA167">
        <f>Source!Y69</f>
        <v>6000.53</v>
      </c>
      <c r="CD167">
        <v>2</v>
      </c>
    </row>
    <row r="168" spans="1:83" ht="28.5" x14ac:dyDescent="0.2">
      <c r="A168" s="37" t="s">
        <v>123</v>
      </c>
      <c r="B168" s="39" t="s">
        <v>595</v>
      </c>
      <c r="C168" s="39" t="str">
        <f>Source!G70</f>
        <v>Демонтаж: ввода в здание, количество проводов в линии: 4</v>
      </c>
      <c r="D168" s="40" t="str">
        <f>Source!H70</f>
        <v>ШТ</v>
      </c>
      <c r="E168" s="41">
        <f>Source!K70</f>
        <v>1</v>
      </c>
      <c r="F168" s="41"/>
      <c r="G168" s="41">
        <f>Source!I70</f>
        <v>1</v>
      </c>
      <c r="H168" s="43"/>
      <c r="I168" s="42"/>
      <c r="J168" s="43"/>
      <c r="K168" s="42"/>
      <c r="L168" s="43"/>
    </row>
    <row r="169" spans="1:83" ht="25.5" x14ac:dyDescent="0.2">
      <c r="B169" s="56" t="s">
        <v>524</v>
      </c>
      <c r="C169" s="120" t="s">
        <v>590</v>
      </c>
      <c r="D169" s="120"/>
      <c r="E169" s="120"/>
      <c r="F169" s="120"/>
      <c r="G169" s="120"/>
      <c r="H169" s="120"/>
      <c r="I169" s="120"/>
      <c r="J169" s="120"/>
      <c r="K169" s="120"/>
      <c r="L169" s="120"/>
    </row>
    <row r="170" spans="1:83" ht="15" x14ac:dyDescent="0.2">
      <c r="A170" s="38"/>
      <c r="B170" s="41">
        <v>1</v>
      </c>
      <c r="C170" s="38" t="s">
        <v>571</v>
      </c>
      <c r="D170" s="40" t="s">
        <v>372</v>
      </c>
      <c r="E170" s="44"/>
      <c r="F170" s="41"/>
      <c r="G170" s="44">
        <f>Source!U70</f>
        <v>1.2809999999999999</v>
      </c>
      <c r="H170" s="41"/>
      <c r="I170" s="41"/>
      <c r="J170" s="41"/>
      <c r="K170" s="41"/>
      <c r="L170" s="45">
        <f>SUM(L171:L171)-SUMIF(CE171:CE171, 1, L171:L171)</f>
        <v>684.67</v>
      </c>
    </row>
    <row r="171" spans="1:83" ht="14.25" x14ac:dyDescent="0.2">
      <c r="A171" s="39"/>
      <c r="B171" s="39" t="s">
        <v>414</v>
      </c>
      <c r="C171" s="39" t="s">
        <v>415</v>
      </c>
      <c r="D171" s="40" t="s">
        <v>372</v>
      </c>
      <c r="E171" s="41">
        <v>4.2699999999999996</v>
      </c>
      <c r="F171" s="41">
        <f>ROUND(0.3,7)</f>
        <v>0.3</v>
      </c>
      <c r="G171" s="41">
        <f>SmtRes!CX35</f>
        <v>1.2809999999999999</v>
      </c>
      <c r="H171" s="43"/>
      <c r="I171" s="42"/>
      <c r="J171" s="43">
        <f>SmtRes!CZ35</f>
        <v>534.48</v>
      </c>
      <c r="K171" s="42"/>
      <c r="L171" s="43">
        <f>SmtRes!DI35</f>
        <v>684.67</v>
      </c>
    </row>
    <row r="172" spans="1:83" ht="15" x14ac:dyDescent="0.2">
      <c r="A172" s="38"/>
      <c r="B172" s="41">
        <v>2</v>
      </c>
      <c r="C172" s="38" t="s">
        <v>572</v>
      </c>
      <c r="D172" s="40"/>
      <c r="E172" s="44"/>
      <c r="F172" s="41"/>
      <c r="G172" s="44"/>
      <c r="H172" s="41"/>
      <c r="I172" s="41"/>
      <c r="J172" s="41"/>
      <c r="K172" s="41"/>
      <c r="L172" s="45">
        <f>SUM(L173:L179)-SUMIF(CE173:CE179, 1, L173:L179)</f>
        <v>2235.0299999999997</v>
      </c>
    </row>
    <row r="173" spans="1:83" ht="15" x14ac:dyDescent="0.2">
      <c r="A173" s="38"/>
      <c r="B173" s="41"/>
      <c r="C173" s="38" t="s">
        <v>575</v>
      </c>
      <c r="D173" s="40" t="s">
        <v>372</v>
      </c>
      <c r="E173" s="44"/>
      <c r="F173" s="41"/>
      <c r="G173" s="44">
        <f>Source!V70</f>
        <v>1.1189999999999998</v>
      </c>
      <c r="H173" s="41"/>
      <c r="I173" s="41"/>
      <c r="J173" s="41"/>
      <c r="K173" s="41"/>
      <c r="L173" s="45">
        <f>SUMIF(CE174:CE179, 1, L174:L179)</f>
        <v>736.85</v>
      </c>
      <c r="CE173">
        <v>1</v>
      </c>
    </row>
    <row r="174" spans="1:83" ht="28.5" x14ac:dyDescent="0.2">
      <c r="A174" s="39"/>
      <c r="B174" s="39" t="s">
        <v>386</v>
      </c>
      <c r="C174" s="39" t="s">
        <v>388</v>
      </c>
      <c r="D174" s="40" t="s">
        <v>378</v>
      </c>
      <c r="E174" s="41">
        <v>0.01</v>
      </c>
      <c r="F174" s="41">
        <f t="shared" ref="F174:F179" si="0">ROUND(0.3,7)</f>
        <v>0.3</v>
      </c>
      <c r="G174" s="41">
        <f>SmtRes!CX37</f>
        <v>3.0000000000000001E-3</v>
      </c>
      <c r="H174" s="43"/>
      <c r="I174" s="42"/>
      <c r="J174" s="43">
        <f>SmtRes!CZ37</f>
        <v>1551.19</v>
      </c>
      <c r="K174" s="42"/>
      <c r="L174" s="43">
        <f>SmtRes!DG37</f>
        <v>4.6500000000000004</v>
      </c>
    </row>
    <row r="175" spans="1:83" ht="14.25" x14ac:dyDescent="0.2">
      <c r="A175" s="39"/>
      <c r="B175" s="39" t="s">
        <v>389</v>
      </c>
      <c r="C175" s="39" t="s">
        <v>583</v>
      </c>
      <c r="D175" s="40" t="s">
        <v>372</v>
      </c>
      <c r="E175" s="41">
        <f>SmtRes!DO37*SmtRes!AT37</f>
        <v>0.01</v>
      </c>
      <c r="F175" s="41">
        <f t="shared" si="0"/>
        <v>0.3</v>
      </c>
      <c r="G175" s="41">
        <f>SmtRes!DO37*SmtRes!CX37</f>
        <v>3.0000000000000001E-3</v>
      </c>
      <c r="H175" s="43"/>
      <c r="I175" s="42"/>
      <c r="J175" s="43">
        <f>ROUND(SmtRes!AG37/SmtRes!DO37, 2)</f>
        <v>658.94</v>
      </c>
      <c r="K175" s="42"/>
      <c r="L175" s="43">
        <f>SmtRes!DH37</f>
        <v>1.98</v>
      </c>
      <c r="CE175">
        <v>1</v>
      </c>
    </row>
    <row r="176" spans="1:83" ht="28.5" x14ac:dyDescent="0.2">
      <c r="A176" s="39"/>
      <c r="B176" s="39" t="s">
        <v>416</v>
      </c>
      <c r="C176" s="39" t="s">
        <v>418</v>
      </c>
      <c r="D176" s="40" t="s">
        <v>378</v>
      </c>
      <c r="E176" s="41">
        <v>3.71</v>
      </c>
      <c r="F176" s="41">
        <f t="shared" si="0"/>
        <v>0.3</v>
      </c>
      <c r="G176" s="41">
        <f>SmtRes!CX38</f>
        <v>1.113</v>
      </c>
      <c r="H176" s="43">
        <f>SmtRes!CZ38</f>
        <v>1472.34</v>
      </c>
      <c r="I176" s="42">
        <f>SmtRes!AJ38</f>
        <v>1.36</v>
      </c>
      <c r="J176" s="43">
        <f>ROUND(H176*I176, 2)</f>
        <v>2002.38</v>
      </c>
      <c r="K176" s="42"/>
      <c r="L176" s="43">
        <f>SmtRes!DG38</f>
        <v>2228.65</v>
      </c>
    </row>
    <row r="177" spans="1:83" ht="14.25" x14ac:dyDescent="0.2">
      <c r="A177" s="39"/>
      <c r="B177" s="39" t="s">
        <v>389</v>
      </c>
      <c r="C177" s="39" t="s">
        <v>583</v>
      </c>
      <c r="D177" s="40" t="s">
        <v>372</v>
      </c>
      <c r="E177" s="41">
        <f>SmtRes!DO38*SmtRes!AT38</f>
        <v>3.71</v>
      </c>
      <c r="F177" s="41">
        <f t="shared" si="0"/>
        <v>0.3</v>
      </c>
      <c r="G177" s="41">
        <f>SmtRes!DO38*SmtRes!CX38</f>
        <v>1.113</v>
      </c>
      <c r="H177" s="43"/>
      <c r="I177" s="42"/>
      <c r="J177" s="43">
        <f>ROUND(SmtRes!AG38/SmtRes!DO38, 2)</f>
        <v>658.94</v>
      </c>
      <c r="K177" s="42"/>
      <c r="L177" s="43">
        <f>SmtRes!DH38</f>
        <v>733.4</v>
      </c>
      <c r="CE177">
        <v>1</v>
      </c>
    </row>
    <row r="178" spans="1:83" ht="28.5" x14ac:dyDescent="0.2">
      <c r="A178" s="39"/>
      <c r="B178" s="39" t="s">
        <v>380</v>
      </c>
      <c r="C178" s="39" t="s">
        <v>382</v>
      </c>
      <c r="D178" s="40" t="s">
        <v>378</v>
      </c>
      <c r="E178" s="41">
        <v>0.01</v>
      </c>
      <c r="F178" s="41">
        <f t="shared" si="0"/>
        <v>0.3</v>
      </c>
      <c r="G178" s="41">
        <f>SmtRes!CX39</f>
        <v>3.0000000000000001E-3</v>
      </c>
      <c r="H178" s="43">
        <f>SmtRes!CZ39</f>
        <v>477.92</v>
      </c>
      <c r="I178" s="42">
        <f>SmtRes!AJ39</f>
        <v>1.21</v>
      </c>
      <c r="J178" s="43">
        <f>ROUND(H178*I178, 2)</f>
        <v>578.28</v>
      </c>
      <c r="K178" s="42"/>
      <c r="L178" s="43">
        <f>SmtRes!DG39</f>
        <v>1.73</v>
      </c>
    </row>
    <row r="179" spans="1:83" ht="14.25" x14ac:dyDescent="0.2">
      <c r="A179" s="39"/>
      <c r="B179" s="39" t="s">
        <v>383</v>
      </c>
      <c r="C179" s="39" t="s">
        <v>574</v>
      </c>
      <c r="D179" s="40" t="s">
        <v>372</v>
      </c>
      <c r="E179" s="41">
        <f>SmtRes!DO39*SmtRes!AT39</f>
        <v>0.01</v>
      </c>
      <c r="F179" s="41">
        <f t="shared" si="0"/>
        <v>0.3</v>
      </c>
      <c r="G179" s="41">
        <f>SmtRes!DO39*SmtRes!CX39</f>
        <v>3.0000000000000001E-3</v>
      </c>
      <c r="H179" s="43"/>
      <c r="I179" s="42"/>
      <c r="J179" s="43">
        <f>ROUND(SmtRes!AG39/SmtRes!DO39, 2)</f>
        <v>490.55</v>
      </c>
      <c r="K179" s="42"/>
      <c r="L179" s="43">
        <f>SmtRes!DH39</f>
        <v>1.47</v>
      </c>
      <c r="CE179">
        <v>1</v>
      </c>
    </row>
    <row r="180" spans="1:83" ht="15" x14ac:dyDescent="0.2">
      <c r="A180" s="38"/>
      <c r="B180" s="41">
        <v>4</v>
      </c>
      <c r="C180" s="38" t="s">
        <v>591</v>
      </c>
      <c r="D180" s="40"/>
      <c r="E180" s="44"/>
      <c r="F180" s="41"/>
      <c r="G180" s="44"/>
      <c r="H180" s="41"/>
      <c r="I180" s="41"/>
      <c r="J180" s="41"/>
      <c r="K180" s="41"/>
      <c r="L180" s="45">
        <f>SUM(L181:L185)-SUMIF(CE181:CE185, 1, L181:L185)</f>
        <v>0</v>
      </c>
    </row>
    <row r="181" spans="1:83" ht="57" x14ac:dyDescent="0.2">
      <c r="A181" s="39"/>
      <c r="B181" s="39" t="s">
        <v>419</v>
      </c>
      <c r="C181" s="39" t="s">
        <v>421</v>
      </c>
      <c r="D181" s="40" t="s">
        <v>422</v>
      </c>
      <c r="E181" s="41">
        <v>29.09</v>
      </c>
      <c r="F181" s="41">
        <f>ROUND(0,7)</f>
        <v>0</v>
      </c>
      <c r="G181" s="41">
        <f>SmtRes!CX40</f>
        <v>0</v>
      </c>
      <c r="H181" s="43">
        <f>SmtRes!CZ40</f>
        <v>0.5</v>
      </c>
      <c r="I181" s="42">
        <f>SmtRes!AI40</f>
        <v>1.53</v>
      </c>
      <c r="J181" s="43">
        <f>ROUND(H181*I181, 2)</f>
        <v>0.77</v>
      </c>
      <c r="K181" s="42"/>
      <c r="L181" s="43">
        <f>SmtRes!DF40</f>
        <v>0</v>
      </c>
    </row>
    <row r="182" spans="1:83" ht="14.25" x14ac:dyDescent="0.2">
      <c r="A182" s="39"/>
      <c r="B182" s="39" t="s">
        <v>411</v>
      </c>
      <c r="C182" s="39" t="s">
        <v>413</v>
      </c>
      <c r="D182" s="40" t="s">
        <v>253</v>
      </c>
      <c r="E182" s="41">
        <v>0.02</v>
      </c>
      <c r="F182" s="41">
        <f>ROUND(0,7)</f>
        <v>0</v>
      </c>
      <c r="G182" s="41">
        <f>SmtRes!CX41</f>
        <v>0</v>
      </c>
      <c r="H182" s="43">
        <f>SmtRes!CZ41</f>
        <v>174.93</v>
      </c>
      <c r="I182" s="42">
        <f>SmtRes!AI41</f>
        <v>1.1499999999999999</v>
      </c>
      <c r="J182" s="43">
        <f>ROUND(H182*I182, 2)</f>
        <v>201.17</v>
      </c>
      <c r="K182" s="42"/>
      <c r="L182" s="43">
        <f>SmtRes!DF41</f>
        <v>0</v>
      </c>
    </row>
    <row r="183" spans="1:83" ht="28.5" x14ac:dyDescent="0.2">
      <c r="A183" s="39"/>
      <c r="B183" s="39" t="s">
        <v>423</v>
      </c>
      <c r="C183" s="39" t="s">
        <v>425</v>
      </c>
      <c r="D183" s="40" t="s">
        <v>253</v>
      </c>
      <c r="E183" s="41">
        <v>0.13</v>
      </c>
      <c r="F183" s="41">
        <f>ROUND(0,7)</f>
        <v>0</v>
      </c>
      <c r="G183" s="41">
        <f>SmtRes!CX42</f>
        <v>0</v>
      </c>
      <c r="H183" s="43">
        <f>SmtRes!CZ42</f>
        <v>79.88</v>
      </c>
      <c r="I183" s="42">
        <f>SmtRes!AI42</f>
        <v>1.31</v>
      </c>
      <c r="J183" s="43">
        <f>ROUND(H183*I183, 2)</f>
        <v>104.64</v>
      </c>
      <c r="K183" s="42"/>
      <c r="L183" s="43">
        <f>SmtRes!DF42</f>
        <v>0</v>
      </c>
    </row>
    <row r="184" spans="1:83" ht="14.25" x14ac:dyDescent="0.2">
      <c r="A184" s="39"/>
      <c r="B184" s="39" t="s">
        <v>426</v>
      </c>
      <c r="C184" s="39" t="s">
        <v>428</v>
      </c>
      <c r="D184" s="40" t="s">
        <v>244</v>
      </c>
      <c r="E184" s="41">
        <v>2.0000000000000002E-5</v>
      </c>
      <c r="F184" s="41">
        <f>ROUND(0,7)</f>
        <v>0</v>
      </c>
      <c r="G184" s="41">
        <f>SmtRes!CX43</f>
        <v>0</v>
      </c>
      <c r="H184" s="43">
        <f>SmtRes!CZ43</f>
        <v>82698.14</v>
      </c>
      <c r="I184" s="42">
        <f>SmtRes!AI43</f>
        <v>1.22</v>
      </c>
      <c r="J184" s="43">
        <f>ROUND(H184*I184, 2)</f>
        <v>100891.73</v>
      </c>
      <c r="K184" s="42"/>
      <c r="L184" s="43">
        <f>SmtRes!DF43</f>
        <v>0</v>
      </c>
    </row>
    <row r="185" spans="1:83" ht="14.25" x14ac:dyDescent="0.2">
      <c r="A185" s="39"/>
      <c r="B185" s="39" t="s">
        <v>429</v>
      </c>
      <c r="C185" s="46" t="s">
        <v>431</v>
      </c>
      <c r="D185" s="47" t="s">
        <v>432</v>
      </c>
      <c r="E185" s="48">
        <v>8.0000000000000002E-3</v>
      </c>
      <c r="F185" s="48">
        <f>ROUND(0,7)</f>
        <v>0</v>
      </c>
      <c r="G185" s="48">
        <f>SmtRes!CX44</f>
        <v>0</v>
      </c>
      <c r="H185" s="49">
        <f>SmtRes!CZ44</f>
        <v>3658.94</v>
      </c>
      <c r="I185" s="50">
        <f>SmtRes!AI44</f>
        <v>1.1299999999999999</v>
      </c>
      <c r="J185" s="49">
        <f>ROUND(H185*I185, 2)</f>
        <v>4134.6000000000004</v>
      </c>
      <c r="K185" s="50"/>
      <c r="L185" s="49">
        <f>SmtRes!DF44</f>
        <v>0</v>
      </c>
    </row>
    <row r="186" spans="1:83" ht="15" x14ac:dyDescent="0.2">
      <c r="A186" s="39"/>
      <c r="B186" s="39"/>
      <c r="C186" s="53" t="s">
        <v>576</v>
      </c>
      <c r="D186" s="40"/>
      <c r="E186" s="41"/>
      <c r="F186" s="41"/>
      <c r="G186" s="41"/>
      <c r="H186" s="43"/>
      <c r="I186" s="42"/>
      <c r="J186" s="43"/>
      <c r="K186" s="42"/>
      <c r="L186" s="43">
        <f>L170+L172+L173+L180</f>
        <v>3656.5499999999997</v>
      </c>
    </row>
    <row r="187" spans="1:83" ht="14.25" x14ac:dyDescent="0.2">
      <c r="A187" s="39"/>
      <c r="B187" s="39"/>
      <c r="C187" s="39" t="s">
        <v>577</v>
      </c>
      <c r="D187" s="40"/>
      <c r="E187" s="41"/>
      <c r="F187" s="41"/>
      <c r="G187" s="41"/>
      <c r="H187" s="43"/>
      <c r="I187" s="42"/>
      <c r="J187" s="43"/>
      <c r="K187" s="42"/>
      <c r="L187" s="43">
        <f>SUM(AR168:AR190)+SUM(AS168:AS190)+SUM(AT168:AT190)+SUM(AU168:AU190)+SUM(AV168:AV190)</f>
        <v>1421.52</v>
      </c>
    </row>
    <row r="188" spans="1:83" ht="28.5" x14ac:dyDescent="0.2">
      <c r="A188" s="39"/>
      <c r="B188" s="39" t="s">
        <v>117</v>
      </c>
      <c r="C188" s="39" t="s">
        <v>592</v>
      </c>
      <c r="D188" s="40" t="s">
        <v>408</v>
      </c>
      <c r="E188" s="41">
        <f>Source!BZ70</f>
        <v>97</v>
      </c>
      <c r="F188" s="41"/>
      <c r="G188" s="41">
        <f>Source!AT70</f>
        <v>97</v>
      </c>
      <c r="H188" s="43"/>
      <c r="I188" s="42"/>
      <c r="J188" s="43"/>
      <c r="K188" s="42"/>
      <c r="L188" s="43">
        <f>SUM(AZ168:AZ190)</f>
        <v>1378.87</v>
      </c>
    </row>
    <row r="189" spans="1:83" ht="28.5" x14ac:dyDescent="0.2">
      <c r="A189" s="46"/>
      <c r="B189" s="46" t="s">
        <v>118</v>
      </c>
      <c r="C189" s="46" t="s">
        <v>593</v>
      </c>
      <c r="D189" s="47" t="s">
        <v>408</v>
      </c>
      <c r="E189" s="48">
        <f>Source!CA70</f>
        <v>51</v>
      </c>
      <c r="F189" s="48"/>
      <c r="G189" s="48">
        <f>Source!AU70</f>
        <v>51</v>
      </c>
      <c r="H189" s="49"/>
      <c r="I189" s="50"/>
      <c r="J189" s="49"/>
      <c r="K189" s="50"/>
      <c r="L189" s="49">
        <f>SUM(BA168:BA190)</f>
        <v>724.98</v>
      </c>
    </row>
    <row r="190" spans="1:83" ht="15" x14ac:dyDescent="0.2">
      <c r="C190" s="104" t="s">
        <v>580</v>
      </c>
      <c r="D190" s="104"/>
      <c r="E190" s="104"/>
      <c r="F190" s="104"/>
      <c r="G190" s="104"/>
      <c r="H190" s="104"/>
      <c r="I190" s="105">
        <f>K190/E168</f>
        <v>5760.4</v>
      </c>
      <c r="J190" s="105"/>
      <c r="K190" s="105">
        <f>L170+L172+L180+L188+L189+L173</f>
        <v>5760.4</v>
      </c>
      <c r="L190" s="105"/>
      <c r="AD190">
        <f>ROUND((Source!AT70/100)*((ROUND(SUMIF(SmtRes!AQ35:'SmtRes'!AQ45,"=1",SmtRes!AD35:'SmtRes'!AD45)*Source!I70, 2)+ROUND(SUMIF(SmtRes!AQ35:'SmtRes'!AQ45,"=1",SmtRes!AC35:'SmtRes'!AC45)*Source!I70, 2))), 2)</f>
        <v>2272.62</v>
      </c>
      <c r="AE190">
        <f>ROUND((Source!AU70/100)*((ROUND(SUMIF(SmtRes!AQ35:'SmtRes'!AQ45,"=1",SmtRes!AD35:'SmtRes'!AD45)*Source!I70, 2)+ROUND(SUMIF(SmtRes!AQ35:'SmtRes'!AQ45,"=1",SmtRes!AC35:'SmtRes'!AC45)*Source!I70, 2))), 2)</f>
        <v>1194.8800000000001</v>
      </c>
      <c r="AN190" s="51">
        <f>L170+L172+L180+L188+L189+L173</f>
        <v>5760.4</v>
      </c>
      <c r="AO190" s="51">
        <f>L172</f>
        <v>2235.0299999999997</v>
      </c>
      <c r="AQ190" t="s">
        <v>581</v>
      </c>
      <c r="AR190" s="51">
        <f>L170</f>
        <v>684.67</v>
      </c>
      <c r="AT190" s="51">
        <f>L173</f>
        <v>736.85</v>
      </c>
      <c r="AV190" t="s">
        <v>581</v>
      </c>
      <c r="AW190" s="51">
        <f>L180</f>
        <v>0</v>
      </c>
      <c r="AZ190">
        <f>Source!X70</f>
        <v>1378.87</v>
      </c>
      <c r="BA190">
        <f>Source!Y70</f>
        <v>724.98</v>
      </c>
      <c r="CD190">
        <v>2</v>
      </c>
    </row>
    <row r="191" spans="1:83" ht="28.5" x14ac:dyDescent="0.2">
      <c r="A191" s="37" t="s">
        <v>127</v>
      </c>
      <c r="B191" s="39" t="s">
        <v>596</v>
      </c>
      <c r="C191" s="39" t="str">
        <f>Source!G71</f>
        <v>Демонтаж: Заземлитель вертикальный из угловой стали размером: 50х50х5 мм</v>
      </c>
      <c r="D191" s="40" t="str">
        <f>Source!H71</f>
        <v>10 ШТ</v>
      </c>
      <c r="E191" s="41">
        <f>Source!K71</f>
        <v>1.2</v>
      </c>
      <c r="F191" s="41"/>
      <c r="G191" s="41">
        <f>Source!I71</f>
        <v>1.2</v>
      </c>
      <c r="H191" s="43"/>
      <c r="I191" s="42"/>
      <c r="J191" s="43"/>
      <c r="K191" s="42"/>
      <c r="L191" s="43"/>
    </row>
    <row r="192" spans="1:83" ht="25.5" x14ac:dyDescent="0.2">
      <c r="B192" s="56" t="s">
        <v>524</v>
      </c>
      <c r="C192" s="120" t="s">
        <v>590</v>
      </c>
      <c r="D192" s="120"/>
      <c r="E192" s="120"/>
      <c r="F192" s="120"/>
      <c r="G192" s="120"/>
      <c r="H192" s="120"/>
      <c r="I192" s="120"/>
      <c r="J192" s="120"/>
      <c r="K192" s="120"/>
      <c r="L192" s="120"/>
    </row>
    <row r="193" spans="1:83" x14ac:dyDescent="0.2">
      <c r="C193" s="60" t="str">
        <f>"Объем: "&amp;Source!I71&amp;"=12/"&amp;"10"</f>
        <v>Объем: 1,2=12/10</v>
      </c>
    </row>
    <row r="194" spans="1:83" ht="15" x14ac:dyDescent="0.2">
      <c r="A194" s="38"/>
      <c r="B194" s="41">
        <v>1</v>
      </c>
      <c r="C194" s="38" t="s">
        <v>571</v>
      </c>
      <c r="D194" s="40" t="s">
        <v>372</v>
      </c>
      <c r="E194" s="44"/>
      <c r="F194" s="41"/>
      <c r="G194" s="44">
        <f>Source!U71</f>
        <v>3.3372000000000002</v>
      </c>
      <c r="H194" s="41"/>
      <c r="I194" s="41"/>
      <c r="J194" s="41"/>
      <c r="K194" s="41"/>
      <c r="L194" s="45">
        <f>SUM(L195:L195)-SUMIF(CE195:CE195, 1, L195:L195)</f>
        <v>1600.39</v>
      </c>
    </row>
    <row r="195" spans="1:83" ht="14.25" x14ac:dyDescent="0.2">
      <c r="A195" s="39"/>
      <c r="B195" s="39" t="s">
        <v>433</v>
      </c>
      <c r="C195" s="39" t="s">
        <v>434</v>
      </c>
      <c r="D195" s="40" t="s">
        <v>372</v>
      </c>
      <c r="E195" s="41">
        <v>9.27</v>
      </c>
      <c r="F195" s="41">
        <f>ROUND(0.3,7)</f>
        <v>0.3</v>
      </c>
      <c r="G195" s="41">
        <f>SmtRes!CX46</f>
        <v>3.3372000000000002</v>
      </c>
      <c r="H195" s="43"/>
      <c r="I195" s="42"/>
      <c r="J195" s="43">
        <f>SmtRes!CZ46</f>
        <v>479.56</v>
      </c>
      <c r="K195" s="42"/>
      <c r="L195" s="43">
        <f>SmtRes!DI46</f>
        <v>1600.39</v>
      </c>
    </row>
    <row r="196" spans="1:83" ht="15" x14ac:dyDescent="0.2">
      <c r="A196" s="38"/>
      <c r="B196" s="41">
        <v>2</v>
      </c>
      <c r="C196" s="38" t="s">
        <v>572</v>
      </c>
      <c r="D196" s="40"/>
      <c r="E196" s="44"/>
      <c r="F196" s="41"/>
      <c r="G196" s="44"/>
      <c r="H196" s="41"/>
      <c r="I196" s="41"/>
      <c r="J196" s="41"/>
      <c r="K196" s="41"/>
      <c r="L196" s="45">
        <f>SUM(L197:L202)-SUMIF(CE197:CE202, 1, L197:L202)</f>
        <v>144.63</v>
      </c>
    </row>
    <row r="197" spans="1:83" ht="15" x14ac:dyDescent="0.2">
      <c r="A197" s="38"/>
      <c r="B197" s="41"/>
      <c r="C197" s="38" t="s">
        <v>575</v>
      </c>
      <c r="D197" s="40" t="s">
        <v>372</v>
      </c>
      <c r="E197" s="44"/>
      <c r="F197" s="41"/>
      <c r="G197" s="44">
        <f>Source!V71</f>
        <v>0.12239999999999999</v>
      </c>
      <c r="H197" s="41"/>
      <c r="I197" s="41"/>
      <c r="J197" s="41"/>
      <c r="K197" s="41"/>
      <c r="L197" s="45">
        <f>SUMIF(CE198:CE202, 1, L198:L202)</f>
        <v>70.349999999999994</v>
      </c>
      <c r="CE197">
        <v>1</v>
      </c>
    </row>
    <row r="198" spans="1:83" ht="28.5" x14ac:dyDescent="0.2">
      <c r="A198" s="39"/>
      <c r="B198" s="39" t="s">
        <v>386</v>
      </c>
      <c r="C198" s="39" t="s">
        <v>388</v>
      </c>
      <c r="D198" s="40" t="s">
        <v>378</v>
      </c>
      <c r="E198" s="41">
        <v>0.17</v>
      </c>
      <c r="F198" s="41">
        <f>ROUND(0.3,7)</f>
        <v>0.3</v>
      </c>
      <c r="G198" s="41">
        <f>SmtRes!CX48</f>
        <v>6.1199999999999997E-2</v>
      </c>
      <c r="H198" s="43"/>
      <c r="I198" s="42"/>
      <c r="J198" s="43">
        <f>SmtRes!CZ48</f>
        <v>1551.19</v>
      </c>
      <c r="K198" s="42"/>
      <c r="L198" s="43">
        <f>SmtRes!DG48</f>
        <v>94.93</v>
      </c>
    </row>
    <row r="199" spans="1:83" ht="14.25" x14ac:dyDescent="0.2">
      <c r="A199" s="39"/>
      <c r="B199" s="39" t="s">
        <v>389</v>
      </c>
      <c r="C199" s="39" t="s">
        <v>583</v>
      </c>
      <c r="D199" s="40" t="s">
        <v>372</v>
      </c>
      <c r="E199" s="41">
        <f>SmtRes!DO48*SmtRes!AT48</f>
        <v>0.17</v>
      </c>
      <c r="F199" s="41">
        <f>ROUND(0.3,7)</f>
        <v>0.3</v>
      </c>
      <c r="G199" s="41">
        <f>SmtRes!DO48*SmtRes!CX48</f>
        <v>6.1199999999999997E-2</v>
      </c>
      <c r="H199" s="43"/>
      <c r="I199" s="42"/>
      <c r="J199" s="43">
        <f>ROUND(SmtRes!AG48/SmtRes!DO48, 2)</f>
        <v>658.94</v>
      </c>
      <c r="K199" s="42"/>
      <c r="L199" s="43">
        <f>SmtRes!DH48</f>
        <v>40.33</v>
      </c>
      <c r="CE199">
        <v>1</v>
      </c>
    </row>
    <row r="200" spans="1:83" ht="28.5" x14ac:dyDescent="0.2">
      <c r="A200" s="39"/>
      <c r="B200" s="39" t="s">
        <v>380</v>
      </c>
      <c r="C200" s="39" t="s">
        <v>382</v>
      </c>
      <c r="D200" s="40" t="s">
        <v>378</v>
      </c>
      <c r="E200" s="41">
        <v>0.17</v>
      </c>
      <c r="F200" s="41">
        <f>ROUND(0.3,7)</f>
        <v>0.3</v>
      </c>
      <c r="G200" s="41">
        <f>SmtRes!CX49</f>
        <v>6.1199999999999997E-2</v>
      </c>
      <c r="H200" s="43">
        <f>SmtRes!CZ49</f>
        <v>477.92</v>
      </c>
      <c r="I200" s="42">
        <f>SmtRes!AJ49</f>
        <v>1.21</v>
      </c>
      <c r="J200" s="43">
        <f>ROUND(H200*I200, 2)</f>
        <v>578.28</v>
      </c>
      <c r="K200" s="42"/>
      <c r="L200" s="43">
        <f>SmtRes!DG49</f>
        <v>35.39</v>
      </c>
    </row>
    <row r="201" spans="1:83" ht="14.25" x14ac:dyDescent="0.2">
      <c r="A201" s="39"/>
      <c r="B201" s="39" t="s">
        <v>383</v>
      </c>
      <c r="C201" s="39" t="s">
        <v>574</v>
      </c>
      <c r="D201" s="40" t="s">
        <v>372</v>
      </c>
      <c r="E201" s="41">
        <f>SmtRes!DO49*SmtRes!AT49</f>
        <v>0.17</v>
      </c>
      <c r="F201" s="41">
        <f>ROUND(0.3,7)</f>
        <v>0.3</v>
      </c>
      <c r="G201" s="41">
        <f>SmtRes!DO49*SmtRes!CX49</f>
        <v>6.1199999999999997E-2</v>
      </c>
      <c r="H201" s="43"/>
      <c r="I201" s="42"/>
      <c r="J201" s="43">
        <f>ROUND(SmtRes!AG49/SmtRes!DO49, 2)</f>
        <v>490.55</v>
      </c>
      <c r="K201" s="42"/>
      <c r="L201" s="43">
        <f>SmtRes!DH49</f>
        <v>30.02</v>
      </c>
      <c r="CE201">
        <v>1</v>
      </c>
    </row>
    <row r="202" spans="1:83" ht="28.5" x14ac:dyDescent="0.2">
      <c r="A202" s="39"/>
      <c r="B202" s="39" t="s">
        <v>435</v>
      </c>
      <c r="C202" s="39" t="s">
        <v>437</v>
      </c>
      <c r="D202" s="40" t="s">
        <v>378</v>
      </c>
      <c r="E202" s="41">
        <v>1.51</v>
      </c>
      <c r="F202" s="41">
        <f>ROUND(0.3,7)</f>
        <v>0.3</v>
      </c>
      <c r="G202" s="41">
        <f>SmtRes!CX50</f>
        <v>0.54359999999999997</v>
      </c>
      <c r="H202" s="43"/>
      <c r="I202" s="42"/>
      <c r="J202" s="43">
        <f>SmtRes!CZ50</f>
        <v>26.32</v>
      </c>
      <c r="K202" s="42"/>
      <c r="L202" s="43">
        <f>SmtRes!DG50</f>
        <v>14.31</v>
      </c>
    </row>
    <row r="203" spans="1:83" ht="15" x14ac:dyDescent="0.2">
      <c r="A203" s="38"/>
      <c r="B203" s="41">
        <v>4</v>
      </c>
      <c r="C203" s="38" t="s">
        <v>591</v>
      </c>
      <c r="D203" s="40"/>
      <c r="E203" s="44"/>
      <c r="F203" s="41"/>
      <c r="G203" s="44"/>
      <c r="H203" s="41"/>
      <c r="I203" s="41"/>
      <c r="J203" s="41"/>
      <c r="K203" s="41"/>
      <c r="L203" s="45">
        <f>SUM(L204:L205)-SUMIF(CE204:CE205, 1, L204:L205)</f>
        <v>0</v>
      </c>
    </row>
    <row r="204" spans="1:83" ht="42.75" x14ac:dyDescent="0.2">
      <c r="A204" s="39"/>
      <c r="B204" s="39" t="s">
        <v>438</v>
      </c>
      <c r="C204" s="39" t="s">
        <v>440</v>
      </c>
      <c r="D204" s="40" t="s">
        <v>253</v>
      </c>
      <c r="E204" s="41">
        <v>0.65</v>
      </c>
      <c r="F204" s="41">
        <f>ROUND(0,7)</f>
        <v>0</v>
      </c>
      <c r="G204" s="41">
        <f>SmtRes!CX51</f>
        <v>0</v>
      </c>
      <c r="H204" s="43">
        <f>SmtRes!CZ51</f>
        <v>155.63</v>
      </c>
      <c r="I204" s="42">
        <f>SmtRes!AI51</f>
        <v>0.95</v>
      </c>
      <c r="J204" s="43">
        <f>ROUND(H204*I204, 2)</f>
        <v>147.85</v>
      </c>
      <c r="K204" s="42"/>
      <c r="L204" s="43">
        <f>SmtRes!DF51</f>
        <v>0</v>
      </c>
    </row>
    <row r="205" spans="1:83" ht="42.75" x14ac:dyDescent="0.2">
      <c r="A205" s="39"/>
      <c r="B205" s="39" t="s">
        <v>441</v>
      </c>
      <c r="C205" s="46" t="s">
        <v>443</v>
      </c>
      <c r="D205" s="47" t="s">
        <v>253</v>
      </c>
      <c r="E205" s="48">
        <v>2</v>
      </c>
      <c r="F205" s="48">
        <f>ROUND(0,7)</f>
        <v>0</v>
      </c>
      <c r="G205" s="48">
        <f>SmtRes!CX52</f>
        <v>0</v>
      </c>
      <c r="H205" s="49">
        <f>SmtRes!CZ52</f>
        <v>911.56</v>
      </c>
      <c r="I205" s="50">
        <f>SmtRes!AI52</f>
        <v>1.23</v>
      </c>
      <c r="J205" s="49">
        <f>ROUND(H205*I205, 2)</f>
        <v>1121.22</v>
      </c>
      <c r="K205" s="50"/>
      <c r="L205" s="49">
        <f>SmtRes!DF52</f>
        <v>0</v>
      </c>
    </row>
    <row r="206" spans="1:83" ht="15" x14ac:dyDescent="0.2">
      <c r="A206" s="39"/>
      <c r="B206" s="39"/>
      <c r="C206" s="53" t="s">
        <v>576</v>
      </c>
      <c r="D206" s="40"/>
      <c r="E206" s="41"/>
      <c r="F206" s="41"/>
      <c r="G206" s="41"/>
      <c r="H206" s="43"/>
      <c r="I206" s="42"/>
      <c r="J206" s="43"/>
      <c r="K206" s="42"/>
      <c r="L206" s="43">
        <f>L194+L196+L197+L203</f>
        <v>1815.37</v>
      </c>
    </row>
    <row r="207" spans="1:83" ht="14.25" x14ac:dyDescent="0.2">
      <c r="A207" s="39"/>
      <c r="B207" s="39"/>
      <c r="C207" s="39" t="s">
        <v>577</v>
      </c>
      <c r="D207" s="40"/>
      <c r="E207" s="41"/>
      <c r="F207" s="41"/>
      <c r="G207" s="41"/>
      <c r="H207" s="43"/>
      <c r="I207" s="42"/>
      <c r="J207" s="43"/>
      <c r="K207" s="42"/>
      <c r="L207" s="43">
        <f>SUM(AR191:AR210)+SUM(AS191:AS210)+SUM(AT191:AT210)+SUM(AU191:AU210)+SUM(AV191:AV210)</f>
        <v>1670.74</v>
      </c>
    </row>
    <row r="208" spans="1:83" ht="28.5" x14ac:dyDescent="0.2">
      <c r="A208" s="39"/>
      <c r="B208" s="39" t="s">
        <v>117</v>
      </c>
      <c r="C208" s="39" t="s">
        <v>592</v>
      </c>
      <c r="D208" s="40" t="s">
        <v>408</v>
      </c>
      <c r="E208" s="41">
        <f>Source!BZ71</f>
        <v>97</v>
      </c>
      <c r="F208" s="41"/>
      <c r="G208" s="41">
        <f>Source!AT71</f>
        <v>97</v>
      </c>
      <c r="H208" s="43"/>
      <c r="I208" s="42"/>
      <c r="J208" s="43"/>
      <c r="K208" s="42"/>
      <c r="L208" s="43">
        <f>SUM(AZ191:AZ210)</f>
        <v>1620.62</v>
      </c>
    </row>
    <row r="209" spans="1:83" ht="28.5" x14ac:dyDescent="0.2">
      <c r="A209" s="46"/>
      <c r="B209" s="46" t="s">
        <v>118</v>
      </c>
      <c r="C209" s="46" t="s">
        <v>593</v>
      </c>
      <c r="D209" s="47" t="s">
        <v>408</v>
      </c>
      <c r="E209" s="48">
        <f>Source!CA71</f>
        <v>51</v>
      </c>
      <c r="F209" s="48"/>
      <c r="G209" s="48">
        <f>Source!AU71</f>
        <v>51</v>
      </c>
      <c r="H209" s="49"/>
      <c r="I209" s="50"/>
      <c r="J209" s="49"/>
      <c r="K209" s="50"/>
      <c r="L209" s="49">
        <f>SUM(BA191:BA210)</f>
        <v>852.08</v>
      </c>
    </row>
    <row r="210" spans="1:83" ht="15" x14ac:dyDescent="0.2">
      <c r="C210" s="104" t="s">
        <v>580</v>
      </c>
      <c r="D210" s="104"/>
      <c r="E210" s="104"/>
      <c r="F210" s="104"/>
      <c r="G210" s="104"/>
      <c r="H210" s="104"/>
      <c r="I210" s="105">
        <f>K210/E191</f>
        <v>3573.3916666666673</v>
      </c>
      <c r="J210" s="105"/>
      <c r="K210" s="105">
        <f>L194+L196+L203+L208+L209+L197</f>
        <v>4288.0700000000006</v>
      </c>
      <c r="L210" s="105"/>
      <c r="AD210">
        <f>ROUND((Source!AT71/100)*((ROUND(SUMIF(SmtRes!AQ46:'SmtRes'!AQ53,"=1",SmtRes!AD46:'SmtRes'!AD53)*Source!I71, 2)+ROUND(SUMIF(SmtRes!AQ46:'SmtRes'!AQ53,"=1",SmtRes!AC46:'SmtRes'!AC53)*Source!I71, 2))), 2)</f>
        <v>1896.21</v>
      </c>
      <c r="AE210">
        <f>ROUND((Source!AU71/100)*((ROUND(SUMIF(SmtRes!AQ46:'SmtRes'!AQ53,"=1",SmtRes!AD46:'SmtRes'!AD53)*Source!I71, 2)+ROUND(SUMIF(SmtRes!AQ46:'SmtRes'!AQ53,"=1",SmtRes!AC46:'SmtRes'!AC53)*Source!I71, 2))), 2)</f>
        <v>996.98</v>
      </c>
      <c r="AN210" s="51">
        <f>L194+L196+L203+L208+L209+L197</f>
        <v>4288.0700000000006</v>
      </c>
      <c r="AO210" s="51">
        <f>L196</f>
        <v>144.63</v>
      </c>
      <c r="AQ210" t="s">
        <v>581</v>
      </c>
      <c r="AR210" s="51">
        <f>L194</f>
        <v>1600.39</v>
      </c>
      <c r="AT210" s="51">
        <f>L197</f>
        <v>70.349999999999994</v>
      </c>
      <c r="AV210" t="s">
        <v>581</v>
      </c>
      <c r="AW210" s="51">
        <f>L203</f>
        <v>0</v>
      </c>
      <c r="AZ210">
        <f>Source!X71</f>
        <v>1620.62</v>
      </c>
      <c r="BA210">
        <f>Source!Y71</f>
        <v>852.08</v>
      </c>
      <c r="CD210">
        <v>2</v>
      </c>
    </row>
    <row r="211" spans="1:83" ht="42.75" x14ac:dyDescent="0.2">
      <c r="A211" s="37" t="s">
        <v>132</v>
      </c>
      <c r="B211" s="39" t="s">
        <v>597</v>
      </c>
      <c r="C211" s="39" t="str">
        <f>Source!G72</f>
        <v>Демонтаж: Проводник заземляющий открыто по строительным основаниям: из круглой стали диаметром 12 мм</v>
      </c>
      <c r="D211" s="40" t="str">
        <f>Source!H72</f>
        <v>100 м</v>
      </c>
      <c r="E211" s="41">
        <f>Source!K72</f>
        <v>1.08</v>
      </c>
      <c r="F211" s="41"/>
      <c r="G211" s="41">
        <f>Source!I72</f>
        <v>1.08</v>
      </c>
      <c r="H211" s="43"/>
      <c r="I211" s="42"/>
      <c r="J211" s="43"/>
      <c r="K211" s="42"/>
      <c r="L211" s="43"/>
    </row>
    <row r="212" spans="1:83" ht="25.5" x14ac:dyDescent="0.2">
      <c r="B212" s="56" t="s">
        <v>524</v>
      </c>
      <c r="C212" s="120" t="s">
        <v>590</v>
      </c>
      <c r="D212" s="120"/>
      <c r="E212" s="120"/>
      <c r="F212" s="120"/>
      <c r="G212" s="120"/>
      <c r="H212" s="120"/>
      <c r="I212" s="120"/>
      <c r="J212" s="120"/>
      <c r="K212" s="120"/>
      <c r="L212" s="120"/>
    </row>
    <row r="213" spans="1:83" x14ac:dyDescent="0.2">
      <c r="C213" s="60" t="str">
        <f>"Объем: "&amp;Source!I72&amp;"=108/"&amp;"100"</f>
        <v>Объем: 1,08=108/100</v>
      </c>
    </row>
    <row r="214" spans="1:83" ht="15" x14ac:dyDescent="0.2">
      <c r="A214" s="38"/>
      <c r="B214" s="41">
        <v>1</v>
      </c>
      <c r="C214" s="38" t="s">
        <v>571</v>
      </c>
      <c r="D214" s="40" t="s">
        <v>372</v>
      </c>
      <c r="E214" s="44"/>
      <c r="F214" s="41"/>
      <c r="G214" s="44">
        <f>Source!U72</f>
        <v>5.9939999999999998</v>
      </c>
      <c r="H214" s="41"/>
      <c r="I214" s="41"/>
      <c r="J214" s="41"/>
      <c r="K214" s="41"/>
      <c r="L214" s="45">
        <f>SUM(L215:L215)-SUMIF(CE215:CE215, 1, L215:L215)</f>
        <v>2874.48</v>
      </c>
    </row>
    <row r="215" spans="1:83" ht="14.25" x14ac:dyDescent="0.2">
      <c r="A215" s="39"/>
      <c r="B215" s="39" t="s">
        <v>433</v>
      </c>
      <c r="C215" s="39" t="s">
        <v>434</v>
      </c>
      <c r="D215" s="40" t="s">
        <v>372</v>
      </c>
      <c r="E215" s="41">
        <v>18.5</v>
      </c>
      <c r="F215" s="41">
        <f>ROUND(0.3,7)</f>
        <v>0.3</v>
      </c>
      <c r="G215" s="41">
        <f>SmtRes!CX54</f>
        <v>5.9939999999999998</v>
      </c>
      <c r="H215" s="43"/>
      <c r="I215" s="42"/>
      <c r="J215" s="43">
        <f>SmtRes!CZ54</f>
        <v>479.56</v>
      </c>
      <c r="K215" s="42"/>
      <c r="L215" s="43">
        <f>SmtRes!DI54</f>
        <v>2874.48</v>
      </c>
    </row>
    <row r="216" spans="1:83" ht="15" x14ac:dyDescent="0.2">
      <c r="A216" s="38"/>
      <c r="B216" s="41">
        <v>2</v>
      </c>
      <c r="C216" s="38" t="s">
        <v>572</v>
      </c>
      <c r="D216" s="40"/>
      <c r="E216" s="44"/>
      <c r="F216" s="41"/>
      <c r="G216" s="44"/>
      <c r="H216" s="41"/>
      <c r="I216" s="41"/>
      <c r="J216" s="41"/>
      <c r="K216" s="41"/>
      <c r="L216" s="45">
        <f>SUM(L217:L222)-SUMIF(CE217:CE222, 1, L217:L222)</f>
        <v>142.01999999999998</v>
      </c>
    </row>
    <row r="217" spans="1:83" ht="15" x14ac:dyDescent="0.2">
      <c r="A217" s="38"/>
      <c r="B217" s="41"/>
      <c r="C217" s="38" t="s">
        <v>575</v>
      </c>
      <c r="D217" s="40" t="s">
        <v>372</v>
      </c>
      <c r="E217" s="44"/>
      <c r="F217" s="41"/>
      <c r="G217" s="44">
        <f>Source!V72</f>
        <v>0.11015999999999999</v>
      </c>
      <c r="H217" s="41"/>
      <c r="I217" s="41"/>
      <c r="J217" s="41"/>
      <c r="K217" s="41"/>
      <c r="L217" s="45">
        <f>SUMIF(CE218:CE222, 1, L218:L222)</f>
        <v>63.31</v>
      </c>
      <c r="CE217">
        <v>1</v>
      </c>
    </row>
    <row r="218" spans="1:83" ht="28.5" x14ac:dyDescent="0.2">
      <c r="A218" s="39"/>
      <c r="B218" s="39" t="s">
        <v>386</v>
      </c>
      <c r="C218" s="39" t="s">
        <v>388</v>
      </c>
      <c r="D218" s="40" t="s">
        <v>378</v>
      </c>
      <c r="E218" s="41">
        <v>0.17</v>
      </c>
      <c r="F218" s="41">
        <f>ROUND(0.3,7)</f>
        <v>0.3</v>
      </c>
      <c r="G218" s="41">
        <f>SmtRes!CX56</f>
        <v>5.5079999999999997E-2</v>
      </c>
      <c r="H218" s="43"/>
      <c r="I218" s="42"/>
      <c r="J218" s="43">
        <f>SmtRes!CZ56</f>
        <v>1551.19</v>
      </c>
      <c r="K218" s="42"/>
      <c r="L218" s="43">
        <f>SmtRes!DG56</f>
        <v>85.44</v>
      </c>
    </row>
    <row r="219" spans="1:83" ht="14.25" x14ac:dyDescent="0.2">
      <c r="A219" s="39"/>
      <c r="B219" s="39" t="s">
        <v>389</v>
      </c>
      <c r="C219" s="39" t="s">
        <v>583</v>
      </c>
      <c r="D219" s="40" t="s">
        <v>372</v>
      </c>
      <c r="E219" s="41">
        <f>SmtRes!DO56*SmtRes!AT56</f>
        <v>0.17</v>
      </c>
      <c r="F219" s="41">
        <f>ROUND(0.3,7)</f>
        <v>0.3</v>
      </c>
      <c r="G219" s="41">
        <f>SmtRes!DO56*SmtRes!CX56</f>
        <v>5.5079999999999997E-2</v>
      </c>
      <c r="H219" s="43"/>
      <c r="I219" s="42"/>
      <c r="J219" s="43">
        <f>ROUND(SmtRes!AG56/SmtRes!DO56, 2)</f>
        <v>658.94</v>
      </c>
      <c r="K219" s="42"/>
      <c r="L219" s="43">
        <f>SmtRes!DH56</f>
        <v>36.29</v>
      </c>
      <c r="CE219">
        <v>1</v>
      </c>
    </row>
    <row r="220" spans="1:83" ht="28.5" x14ac:dyDescent="0.2">
      <c r="A220" s="39"/>
      <c r="B220" s="39" t="s">
        <v>380</v>
      </c>
      <c r="C220" s="39" t="s">
        <v>382</v>
      </c>
      <c r="D220" s="40" t="s">
        <v>378</v>
      </c>
      <c r="E220" s="41">
        <v>0.17</v>
      </c>
      <c r="F220" s="41">
        <f>ROUND(0.3,7)</f>
        <v>0.3</v>
      </c>
      <c r="G220" s="41">
        <f>SmtRes!CX57</f>
        <v>5.5079999999999997E-2</v>
      </c>
      <c r="H220" s="43">
        <f>SmtRes!CZ57</f>
        <v>477.92</v>
      </c>
      <c r="I220" s="42">
        <f>SmtRes!AJ57</f>
        <v>1.21</v>
      </c>
      <c r="J220" s="43">
        <f>ROUND(H220*I220, 2)</f>
        <v>578.28</v>
      </c>
      <c r="K220" s="42"/>
      <c r="L220" s="43">
        <f>SmtRes!DG57</f>
        <v>31.85</v>
      </c>
    </row>
    <row r="221" spans="1:83" ht="14.25" x14ac:dyDescent="0.2">
      <c r="A221" s="39"/>
      <c r="B221" s="39" t="s">
        <v>383</v>
      </c>
      <c r="C221" s="39" t="s">
        <v>574</v>
      </c>
      <c r="D221" s="40" t="s">
        <v>372</v>
      </c>
      <c r="E221" s="41">
        <f>SmtRes!DO57*SmtRes!AT57</f>
        <v>0.17</v>
      </c>
      <c r="F221" s="41">
        <f>ROUND(0.3,7)</f>
        <v>0.3</v>
      </c>
      <c r="G221" s="41">
        <f>SmtRes!DO57*SmtRes!CX57</f>
        <v>5.5079999999999997E-2</v>
      </c>
      <c r="H221" s="43"/>
      <c r="I221" s="42"/>
      <c r="J221" s="43">
        <f>ROUND(SmtRes!AG57/SmtRes!DO57, 2)</f>
        <v>490.55</v>
      </c>
      <c r="K221" s="42"/>
      <c r="L221" s="43">
        <f>SmtRes!DH57</f>
        <v>27.02</v>
      </c>
      <c r="CE221">
        <v>1</v>
      </c>
    </row>
    <row r="222" spans="1:83" ht="28.5" x14ac:dyDescent="0.2">
      <c r="A222" s="39"/>
      <c r="B222" s="39" t="s">
        <v>435</v>
      </c>
      <c r="C222" s="39" t="s">
        <v>437</v>
      </c>
      <c r="D222" s="40" t="s">
        <v>378</v>
      </c>
      <c r="E222" s="41">
        <v>2.9</v>
      </c>
      <c r="F222" s="41">
        <f>ROUND(0.3,7)</f>
        <v>0.3</v>
      </c>
      <c r="G222" s="41">
        <f>SmtRes!CX58</f>
        <v>0.93959999999999999</v>
      </c>
      <c r="H222" s="43"/>
      <c r="I222" s="42"/>
      <c r="J222" s="43">
        <f>SmtRes!CZ58</f>
        <v>26.32</v>
      </c>
      <c r="K222" s="42"/>
      <c r="L222" s="43">
        <f>SmtRes!DG58</f>
        <v>24.73</v>
      </c>
    </row>
    <row r="223" spans="1:83" ht="15" x14ac:dyDescent="0.2">
      <c r="A223" s="38"/>
      <c r="B223" s="41">
        <v>4</v>
      </c>
      <c r="C223" s="38" t="s">
        <v>591</v>
      </c>
      <c r="D223" s="40"/>
      <c r="E223" s="44"/>
      <c r="F223" s="41"/>
      <c r="G223" s="44"/>
      <c r="H223" s="41"/>
      <c r="I223" s="41"/>
      <c r="J223" s="41"/>
      <c r="K223" s="41"/>
      <c r="L223" s="45">
        <f>SUM(L224:L226)-SUMIF(CE224:CE226, 1, L224:L226)</f>
        <v>0</v>
      </c>
    </row>
    <row r="224" spans="1:83" ht="42.75" x14ac:dyDescent="0.2">
      <c r="A224" s="39"/>
      <c r="B224" s="39" t="s">
        <v>438</v>
      </c>
      <c r="C224" s="39" t="s">
        <v>440</v>
      </c>
      <c r="D224" s="40" t="s">
        <v>253</v>
      </c>
      <c r="E224" s="41">
        <v>0.9</v>
      </c>
      <c r="F224" s="41">
        <f>ROUND(0,7)</f>
        <v>0</v>
      </c>
      <c r="G224" s="41">
        <f>SmtRes!CX59</f>
        <v>0</v>
      </c>
      <c r="H224" s="43">
        <f>SmtRes!CZ59</f>
        <v>155.63</v>
      </c>
      <c r="I224" s="42">
        <f>SmtRes!AI59</f>
        <v>0.95</v>
      </c>
      <c r="J224" s="43">
        <f>ROUND(H224*I224, 2)</f>
        <v>147.85</v>
      </c>
      <c r="K224" s="42"/>
      <c r="L224" s="43">
        <f>SmtRes!DF59</f>
        <v>0</v>
      </c>
    </row>
    <row r="225" spans="1:82" ht="42.75" x14ac:dyDescent="0.2">
      <c r="A225" s="39"/>
      <c r="B225" s="39" t="s">
        <v>444</v>
      </c>
      <c r="C225" s="39" t="s">
        <v>446</v>
      </c>
      <c r="D225" s="40" t="s">
        <v>244</v>
      </c>
      <c r="E225" s="41">
        <v>4.0000000000000001E-3</v>
      </c>
      <c r="F225" s="41">
        <f>ROUND(0,7)</f>
        <v>0</v>
      </c>
      <c r="G225" s="41">
        <f>SmtRes!CX60</f>
        <v>0</v>
      </c>
      <c r="H225" s="43">
        <f>SmtRes!CZ60</f>
        <v>71131.5</v>
      </c>
      <c r="I225" s="42">
        <f>SmtRes!AI60</f>
        <v>0.86</v>
      </c>
      <c r="J225" s="43">
        <f>ROUND(H225*I225, 2)</f>
        <v>61173.09</v>
      </c>
      <c r="K225" s="42"/>
      <c r="L225" s="43">
        <f>SmtRes!DF60</f>
        <v>0</v>
      </c>
    </row>
    <row r="226" spans="1:82" ht="42.75" x14ac:dyDescent="0.2">
      <c r="A226" s="39"/>
      <c r="B226" s="39" t="s">
        <v>441</v>
      </c>
      <c r="C226" s="46" t="s">
        <v>443</v>
      </c>
      <c r="D226" s="47" t="s">
        <v>253</v>
      </c>
      <c r="E226" s="48">
        <v>2.4</v>
      </c>
      <c r="F226" s="48">
        <f>ROUND(0,7)</f>
        <v>0</v>
      </c>
      <c r="G226" s="48">
        <f>SmtRes!CX61</f>
        <v>0</v>
      </c>
      <c r="H226" s="49">
        <f>SmtRes!CZ61</f>
        <v>911.56</v>
      </c>
      <c r="I226" s="50">
        <f>SmtRes!AI61</f>
        <v>1.23</v>
      </c>
      <c r="J226" s="49">
        <f>ROUND(H226*I226, 2)</f>
        <v>1121.22</v>
      </c>
      <c r="K226" s="50"/>
      <c r="L226" s="49">
        <f>SmtRes!DF61</f>
        <v>0</v>
      </c>
    </row>
    <row r="227" spans="1:82" ht="15" x14ac:dyDescent="0.2">
      <c r="A227" s="39"/>
      <c r="B227" s="39"/>
      <c r="C227" s="53" t="s">
        <v>576</v>
      </c>
      <c r="D227" s="40"/>
      <c r="E227" s="41"/>
      <c r="F227" s="41"/>
      <c r="G227" s="41"/>
      <c r="H227" s="43"/>
      <c r="I227" s="42"/>
      <c r="J227" s="43"/>
      <c r="K227" s="42"/>
      <c r="L227" s="43">
        <f>L214+L216+L217+L223</f>
        <v>3079.81</v>
      </c>
    </row>
    <row r="228" spans="1:82" ht="14.25" x14ac:dyDescent="0.2">
      <c r="A228" s="39"/>
      <c r="B228" s="39"/>
      <c r="C228" s="39" t="s">
        <v>577</v>
      </c>
      <c r="D228" s="40"/>
      <c r="E228" s="41"/>
      <c r="F228" s="41"/>
      <c r="G228" s="41"/>
      <c r="H228" s="43"/>
      <c r="I228" s="42"/>
      <c r="J228" s="43"/>
      <c r="K228" s="42"/>
      <c r="L228" s="43">
        <f>SUM(AR211:AR231)+SUM(AS211:AS231)+SUM(AT211:AT231)+SUM(AU211:AU231)+SUM(AV211:AV231)</f>
        <v>2937.79</v>
      </c>
    </row>
    <row r="229" spans="1:82" ht="28.5" x14ac:dyDescent="0.2">
      <c r="A229" s="39"/>
      <c r="B229" s="39" t="s">
        <v>117</v>
      </c>
      <c r="C229" s="39" t="s">
        <v>592</v>
      </c>
      <c r="D229" s="40" t="s">
        <v>408</v>
      </c>
      <c r="E229" s="41">
        <f>Source!BZ72</f>
        <v>97</v>
      </c>
      <c r="F229" s="41"/>
      <c r="G229" s="41">
        <f>Source!AT72</f>
        <v>97</v>
      </c>
      <c r="H229" s="43"/>
      <c r="I229" s="42"/>
      <c r="J229" s="43"/>
      <c r="K229" s="42"/>
      <c r="L229" s="43">
        <f>SUM(AZ211:AZ231)</f>
        <v>2849.66</v>
      </c>
    </row>
    <row r="230" spans="1:82" ht="28.5" x14ac:dyDescent="0.2">
      <c r="A230" s="46"/>
      <c r="B230" s="46" t="s">
        <v>118</v>
      </c>
      <c r="C230" s="46" t="s">
        <v>593</v>
      </c>
      <c r="D230" s="47" t="s">
        <v>408</v>
      </c>
      <c r="E230" s="48">
        <f>Source!CA72</f>
        <v>51</v>
      </c>
      <c r="F230" s="48"/>
      <c r="G230" s="48">
        <f>Source!AU72</f>
        <v>51</v>
      </c>
      <c r="H230" s="49"/>
      <c r="I230" s="50"/>
      <c r="J230" s="49"/>
      <c r="K230" s="50"/>
      <c r="L230" s="49">
        <f>SUM(BA211:BA231)</f>
        <v>1498.27</v>
      </c>
    </row>
    <row r="231" spans="1:82" ht="15" x14ac:dyDescent="0.2">
      <c r="C231" s="104" t="s">
        <v>580</v>
      </c>
      <c r="D231" s="104"/>
      <c r="E231" s="104"/>
      <c r="F231" s="104"/>
      <c r="G231" s="104"/>
      <c r="H231" s="104"/>
      <c r="I231" s="105">
        <f>K231/E211</f>
        <v>6877.5370370370374</v>
      </c>
      <c r="J231" s="105"/>
      <c r="K231" s="105">
        <f>L214+L216+L223+L229+L230+L217</f>
        <v>7427.7400000000007</v>
      </c>
      <c r="L231" s="105"/>
      <c r="AD231">
        <f>ROUND((Source!AT72/100)*((ROUND(SUMIF(SmtRes!AQ54:'SmtRes'!AQ62,"=1",SmtRes!AD54:'SmtRes'!AD62)*Source!I72, 2)+ROUND(SUMIF(SmtRes!AQ54:'SmtRes'!AQ62,"=1",SmtRes!AC54:'SmtRes'!AC62)*Source!I72, 2))), 2)</f>
        <v>1706.59</v>
      </c>
      <c r="AE231">
        <f>ROUND((Source!AU72/100)*((ROUND(SUMIF(SmtRes!AQ54:'SmtRes'!AQ62,"=1",SmtRes!AD54:'SmtRes'!AD62)*Source!I72, 2)+ROUND(SUMIF(SmtRes!AQ54:'SmtRes'!AQ62,"=1",SmtRes!AC54:'SmtRes'!AC62)*Source!I72, 2))), 2)</f>
        <v>897.28</v>
      </c>
      <c r="AN231" s="51">
        <f>L214+L216+L223+L229+L230+L217</f>
        <v>7427.7400000000007</v>
      </c>
      <c r="AO231" s="51">
        <f>L216</f>
        <v>142.01999999999998</v>
      </c>
      <c r="AQ231" t="s">
        <v>581</v>
      </c>
      <c r="AR231" s="51">
        <f>L214</f>
        <v>2874.48</v>
      </c>
      <c r="AT231" s="51">
        <f>L217</f>
        <v>63.31</v>
      </c>
      <c r="AV231" t="s">
        <v>581</v>
      </c>
      <c r="AW231" s="51">
        <f>L223</f>
        <v>0</v>
      </c>
      <c r="AZ231">
        <f>Source!X72</f>
        <v>2849.66</v>
      </c>
      <c r="BA231">
        <f>Source!Y72</f>
        <v>1498.27</v>
      </c>
      <c r="CD231">
        <v>2</v>
      </c>
    </row>
    <row r="233" spans="1:82" ht="15" x14ac:dyDescent="0.2">
      <c r="A233" s="61"/>
      <c r="B233" s="62"/>
      <c r="C233" s="123" t="s">
        <v>598</v>
      </c>
      <c r="D233" s="123"/>
      <c r="E233" s="123"/>
      <c r="F233" s="123"/>
      <c r="G233" s="123"/>
      <c r="H233" s="123"/>
      <c r="I233" s="45"/>
      <c r="J233" s="61"/>
      <c r="K233" s="63"/>
      <c r="L233" s="45">
        <f>L235+L236+L242+L246</f>
        <v>175283.7</v>
      </c>
    </row>
    <row r="234" spans="1:82" ht="14.25" x14ac:dyDescent="0.2">
      <c r="A234" s="54"/>
      <c r="B234" s="60"/>
      <c r="C234" s="122" t="s">
        <v>599</v>
      </c>
      <c r="D234" s="121"/>
      <c r="E234" s="121"/>
      <c r="F234" s="121"/>
      <c r="G234" s="121"/>
      <c r="H234" s="121"/>
      <c r="I234" s="43"/>
      <c r="J234" s="54"/>
      <c r="K234" s="41"/>
      <c r="L234" s="43"/>
    </row>
    <row r="235" spans="1:82" ht="14.25" x14ac:dyDescent="0.2">
      <c r="A235" s="54"/>
      <c r="B235" s="60"/>
      <c r="C235" s="121" t="s">
        <v>600</v>
      </c>
      <c r="D235" s="121"/>
      <c r="E235" s="121"/>
      <c r="F235" s="121"/>
      <c r="G235" s="121"/>
      <c r="H235" s="121"/>
      <c r="I235" s="43"/>
      <c r="J235" s="54"/>
      <c r="K235" s="41"/>
      <c r="L235" s="43">
        <f>SUM(AR54:AR231)</f>
        <v>77550.91</v>
      </c>
    </row>
    <row r="236" spans="1:82" ht="14.25" hidden="1" x14ac:dyDescent="0.2">
      <c r="A236" s="54"/>
      <c r="B236" s="60"/>
      <c r="C236" s="121" t="s">
        <v>601</v>
      </c>
      <c r="D236" s="121"/>
      <c r="E236" s="121"/>
      <c r="F236" s="121"/>
      <c r="G236" s="121"/>
      <c r="H236" s="121"/>
      <c r="I236" s="43"/>
      <c r="J236" s="54"/>
      <c r="K236" s="41"/>
      <c r="L236" s="43">
        <f>L238+L241+L240</f>
        <v>97732.79</v>
      </c>
    </row>
    <row r="237" spans="1:82" ht="14.25" hidden="1" x14ac:dyDescent="0.2">
      <c r="A237" s="54"/>
      <c r="B237" s="60"/>
      <c r="C237" s="122" t="s">
        <v>602</v>
      </c>
      <c r="D237" s="121"/>
      <c r="E237" s="121"/>
      <c r="F237" s="121"/>
      <c r="G237" s="121"/>
      <c r="H237" s="121"/>
      <c r="I237" s="43"/>
      <c r="J237" s="54"/>
      <c r="K237" s="41"/>
      <c r="L237" s="43"/>
    </row>
    <row r="238" spans="1:82" ht="14.25" x14ac:dyDescent="0.2">
      <c r="A238" s="54"/>
      <c r="B238" s="60"/>
      <c r="C238" s="121" t="s">
        <v>601</v>
      </c>
      <c r="D238" s="121"/>
      <c r="E238" s="121"/>
      <c r="F238" s="121"/>
      <c r="G238" s="121"/>
      <c r="H238" s="121"/>
      <c r="I238" s="43"/>
      <c r="J238" s="54"/>
      <c r="K238" s="41"/>
      <c r="L238" s="43">
        <f>SUM(AO54:AO231)</f>
        <v>65079.05999999999</v>
      </c>
    </row>
    <row r="239" spans="1:82" ht="14.25" hidden="1" x14ac:dyDescent="0.2">
      <c r="A239" s="54"/>
      <c r="B239" s="60"/>
      <c r="C239" s="122" t="s">
        <v>603</v>
      </c>
      <c r="D239" s="121"/>
      <c r="E239" s="121"/>
      <c r="F239" s="121"/>
      <c r="G239" s="121"/>
      <c r="H239" s="121"/>
      <c r="I239" s="43"/>
      <c r="J239" s="54"/>
      <c r="K239" s="41"/>
      <c r="L239" s="43"/>
    </row>
    <row r="240" spans="1:82" ht="14.25" x14ac:dyDescent="0.2">
      <c r="A240" s="54"/>
      <c r="B240" s="60"/>
      <c r="C240" s="121" t="s">
        <v>623</v>
      </c>
      <c r="D240" s="121"/>
      <c r="E240" s="121"/>
      <c r="F240" s="121"/>
      <c r="G240" s="121"/>
      <c r="H240" s="121"/>
      <c r="I240" s="43"/>
      <c r="J240" s="54"/>
      <c r="K240" s="41"/>
      <c r="L240" s="43">
        <f>SUM(AT54:AT231)</f>
        <v>32653.730000000003</v>
      </c>
    </row>
    <row r="241" spans="1:12" ht="14.25" hidden="1" x14ac:dyDescent="0.2">
      <c r="A241" s="54"/>
      <c r="B241" s="60"/>
      <c r="C241" s="121" t="s">
        <v>604</v>
      </c>
      <c r="D241" s="121"/>
      <c r="E241" s="121"/>
      <c r="F241" s="121"/>
      <c r="G241" s="121"/>
      <c r="H241" s="121"/>
      <c r="I241" s="43"/>
      <c r="J241" s="54"/>
      <c r="K241" s="41"/>
      <c r="L241" s="43">
        <f>SUM(AV54:AV231)</f>
        <v>0</v>
      </c>
    </row>
    <row r="242" spans="1:12" ht="14.25" hidden="1" x14ac:dyDescent="0.2">
      <c r="A242" s="54"/>
      <c r="B242" s="60"/>
      <c r="C242" s="121" t="s">
        <v>605</v>
      </c>
      <c r="D242" s="121"/>
      <c r="E242" s="121"/>
      <c r="F242" s="121"/>
      <c r="G242" s="121"/>
      <c r="H242" s="121"/>
      <c r="I242" s="43"/>
      <c r="J242" s="54"/>
      <c r="K242" s="41"/>
      <c r="L242" s="43">
        <f>L244+L245</f>
        <v>0</v>
      </c>
    </row>
    <row r="243" spans="1:12" ht="14.25" hidden="1" x14ac:dyDescent="0.2">
      <c r="A243" s="54"/>
      <c r="B243" s="60"/>
      <c r="C243" s="122" t="s">
        <v>602</v>
      </c>
      <c r="D243" s="121"/>
      <c r="E243" s="121"/>
      <c r="F243" s="121"/>
      <c r="G243" s="121"/>
      <c r="H243" s="121"/>
      <c r="I243" s="43"/>
      <c r="J243" s="54"/>
      <c r="K243" s="41"/>
      <c r="L243" s="43"/>
    </row>
    <row r="244" spans="1:12" ht="14.25" hidden="1" x14ac:dyDescent="0.2">
      <c r="A244" s="54"/>
      <c r="B244" s="60"/>
      <c r="C244" s="121" t="s">
        <v>606</v>
      </c>
      <c r="D244" s="121"/>
      <c r="E244" s="121"/>
      <c r="F244" s="121"/>
      <c r="G244" s="121"/>
      <c r="H244" s="121"/>
      <c r="I244" s="43"/>
      <c r="J244" s="54"/>
      <c r="K244" s="41"/>
      <c r="L244" s="43">
        <f>SUM(AW54:AW231)-SUM(BK54:BK231)</f>
        <v>0</v>
      </c>
    </row>
    <row r="245" spans="1:12" ht="14.25" hidden="1" x14ac:dyDescent="0.2">
      <c r="A245" s="54"/>
      <c r="B245" s="60"/>
      <c r="C245" s="121" t="s">
        <v>607</v>
      </c>
      <c r="D245" s="121"/>
      <c r="E245" s="121"/>
      <c r="F245" s="121"/>
      <c r="G245" s="121"/>
      <c r="H245" s="121"/>
      <c r="I245" s="43"/>
      <c r="J245" s="54"/>
      <c r="K245" s="41"/>
      <c r="L245" s="43">
        <f>SUM(BC54:BC231)</f>
        <v>0</v>
      </c>
    </row>
    <row r="246" spans="1:12" ht="14.25" hidden="1" x14ac:dyDescent="0.2">
      <c r="A246" s="54"/>
      <c r="B246" s="60"/>
      <c r="C246" s="121" t="s">
        <v>608</v>
      </c>
      <c r="D246" s="121"/>
      <c r="E246" s="121"/>
      <c r="F246" s="121"/>
      <c r="G246" s="121"/>
      <c r="H246" s="121"/>
      <c r="I246" s="43"/>
      <c r="J246" s="54"/>
      <c r="K246" s="41"/>
      <c r="L246" s="43">
        <f>SUM(BB54:BB231)</f>
        <v>0</v>
      </c>
    </row>
    <row r="247" spans="1:12" ht="14.25" x14ac:dyDescent="0.2">
      <c r="A247" s="54"/>
      <c r="B247" s="60"/>
      <c r="C247" s="121" t="s">
        <v>609</v>
      </c>
      <c r="D247" s="121"/>
      <c r="E247" s="121"/>
      <c r="F247" s="121"/>
      <c r="G247" s="121"/>
      <c r="H247" s="121"/>
      <c r="I247" s="43"/>
      <c r="J247" s="54"/>
      <c r="K247" s="41"/>
      <c r="L247" s="43">
        <f>SUM(AR54:AR231)+SUM(AT54:AT231)+SUM(AV54:AV231)</f>
        <v>110204.64000000001</v>
      </c>
    </row>
    <row r="248" spans="1:12" ht="14.25" x14ac:dyDescent="0.2">
      <c r="A248" s="54"/>
      <c r="B248" s="60"/>
      <c r="C248" s="121" t="s">
        <v>610</v>
      </c>
      <c r="D248" s="121"/>
      <c r="E248" s="121"/>
      <c r="F248" s="121"/>
      <c r="G248" s="121"/>
      <c r="H248" s="121"/>
      <c r="I248" s="43"/>
      <c r="J248" s="54"/>
      <c r="K248" s="41"/>
      <c r="L248" s="43">
        <f>SUM(AZ54:AZ231)</f>
        <v>112140.24</v>
      </c>
    </row>
    <row r="249" spans="1:12" ht="14.25" x14ac:dyDescent="0.2">
      <c r="A249" s="54"/>
      <c r="B249" s="60"/>
      <c r="C249" s="121" t="s">
        <v>611</v>
      </c>
      <c r="D249" s="121"/>
      <c r="E249" s="121"/>
      <c r="F249" s="121"/>
      <c r="G249" s="121"/>
      <c r="H249" s="121"/>
      <c r="I249" s="43"/>
      <c r="J249" s="54"/>
      <c r="K249" s="41"/>
      <c r="L249" s="43">
        <f>SUM(BA54:BA231)</f>
        <v>64066.97</v>
      </c>
    </row>
    <row r="250" spans="1:12" ht="14.25" hidden="1" x14ac:dyDescent="0.2">
      <c r="A250" s="54"/>
      <c r="B250" s="60"/>
      <c r="C250" s="121" t="s">
        <v>612</v>
      </c>
      <c r="D250" s="121"/>
      <c r="E250" s="121"/>
      <c r="F250" s="121"/>
      <c r="G250" s="121"/>
      <c r="H250" s="121"/>
      <c r="I250" s="43"/>
      <c r="J250" s="54"/>
      <c r="K250" s="41"/>
      <c r="L250" s="43">
        <f>L252+L253</f>
        <v>0</v>
      </c>
    </row>
    <row r="251" spans="1:12" ht="14.25" hidden="1" x14ac:dyDescent="0.2">
      <c r="A251" s="54"/>
      <c r="B251" s="60"/>
      <c r="C251" s="122" t="s">
        <v>599</v>
      </c>
      <c r="D251" s="121"/>
      <c r="E251" s="121"/>
      <c r="F251" s="121"/>
      <c r="G251" s="121"/>
      <c r="H251" s="121"/>
      <c r="I251" s="43"/>
      <c r="J251" s="54"/>
      <c r="K251" s="41"/>
      <c r="L251" s="43"/>
    </row>
    <row r="252" spans="1:12" ht="14.25" hidden="1" x14ac:dyDescent="0.2">
      <c r="A252" s="54"/>
      <c r="B252" s="60"/>
      <c r="C252" s="121" t="s">
        <v>613</v>
      </c>
      <c r="D252" s="121"/>
      <c r="E252" s="121"/>
      <c r="F252" s="121"/>
      <c r="G252" s="121"/>
      <c r="H252" s="121"/>
      <c r="I252" s="43"/>
      <c r="J252" s="54"/>
      <c r="K252" s="41"/>
      <c r="L252" s="43">
        <f>SUM(BK54:BK231)</f>
        <v>0</v>
      </c>
    </row>
    <row r="253" spans="1:12" ht="14.25" hidden="1" x14ac:dyDescent="0.2">
      <c r="A253" s="54"/>
      <c r="B253" s="60"/>
      <c r="C253" s="121" t="s">
        <v>614</v>
      </c>
      <c r="D253" s="121"/>
      <c r="E253" s="121"/>
      <c r="F253" s="121"/>
      <c r="G253" s="121"/>
      <c r="H253" s="121"/>
      <c r="I253" s="43"/>
      <c r="J253" s="54"/>
      <c r="K253" s="41"/>
      <c r="L253" s="43">
        <f>SUM(BD54:BD231)</f>
        <v>0</v>
      </c>
    </row>
    <row r="254" spans="1:12" ht="14.25" hidden="1" x14ac:dyDescent="0.2">
      <c r="A254" s="54"/>
      <c r="B254" s="60"/>
      <c r="C254" s="121" t="s">
        <v>615</v>
      </c>
      <c r="D254" s="121"/>
      <c r="E254" s="121"/>
      <c r="F254" s="121"/>
      <c r="G254" s="121"/>
      <c r="H254" s="121"/>
      <c r="I254" s="43"/>
      <c r="J254" s="54"/>
      <c r="K254" s="41"/>
      <c r="L254" s="43"/>
    </row>
    <row r="255" spans="1:12" ht="14.25" hidden="1" x14ac:dyDescent="0.2">
      <c r="A255" s="54"/>
      <c r="B255" s="60"/>
      <c r="C255" s="121" t="s">
        <v>616</v>
      </c>
      <c r="D255" s="121"/>
      <c r="E255" s="121"/>
      <c r="F255" s="121"/>
      <c r="G255" s="121"/>
      <c r="H255" s="121"/>
      <c r="I255" s="43"/>
      <c r="J255" s="54"/>
      <c r="K255" s="41"/>
      <c r="L255" s="43">
        <f>SUM(BO54:BO231)</f>
        <v>0</v>
      </c>
    </row>
    <row r="256" spans="1:12" ht="15" x14ac:dyDescent="0.2">
      <c r="A256" s="61"/>
      <c r="B256" s="62"/>
      <c r="C256" s="123" t="s">
        <v>617</v>
      </c>
      <c r="D256" s="123"/>
      <c r="E256" s="123"/>
      <c r="F256" s="123"/>
      <c r="G256" s="123"/>
      <c r="H256" s="123"/>
      <c r="I256" s="45"/>
      <c r="J256" s="61"/>
      <c r="K256" s="63"/>
      <c r="L256" s="45">
        <f>L233+L248+L249+L250+L254+L255</f>
        <v>351490.91000000003</v>
      </c>
    </row>
    <row r="257" spans="1:83" ht="14.25" x14ac:dyDescent="0.2">
      <c r="A257" s="54"/>
      <c r="B257" s="60"/>
      <c r="C257" s="122" t="s">
        <v>618</v>
      </c>
      <c r="D257" s="121"/>
      <c r="E257" s="121"/>
      <c r="F257" s="121"/>
      <c r="G257" s="121"/>
      <c r="H257" s="121"/>
      <c r="I257" s="43"/>
      <c r="J257" s="54"/>
      <c r="K257" s="41"/>
      <c r="L257" s="43"/>
    </row>
    <row r="258" spans="1:83" ht="14.25" hidden="1" x14ac:dyDescent="0.2">
      <c r="A258" s="54"/>
      <c r="B258" s="60"/>
      <c r="C258" s="121" t="s">
        <v>619</v>
      </c>
      <c r="D258" s="121"/>
      <c r="E258" s="121"/>
      <c r="F258" s="121"/>
      <c r="G258" s="121"/>
      <c r="H258" s="121"/>
      <c r="I258" s="43"/>
      <c r="J258" s="54"/>
      <c r="K258" s="41"/>
      <c r="L258" s="43">
        <f>SUM(AX54:AX231)</f>
        <v>0</v>
      </c>
    </row>
    <row r="259" spans="1:83" ht="14.25" hidden="1" x14ac:dyDescent="0.2">
      <c r="A259" s="54"/>
      <c r="B259" s="60"/>
      <c r="C259" s="121" t="s">
        <v>620</v>
      </c>
      <c r="D259" s="121"/>
      <c r="E259" s="121"/>
      <c r="F259" s="121"/>
      <c r="G259" s="121"/>
      <c r="H259" s="121"/>
      <c r="I259" s="43"/>
      <c r="J259" s="54"/>
      <c r="K259" s="41"/>
      <c r="L259" s="43">
        <f>SUM(AY54:AY231)</f>
        <v>0</v>
      </c>
    </row>
    <row r="260" spans="1:83" ht="14.25" x14ac:dyDescent="0.2">
      <c r="A260" s="54"/>
      <c r="B260" s="60"/>
      <c r="C260" s="121" t="s">
        <v>621</v>
      </c>
      <c r="D260" s="121"/>
      <c r="E260" s="121"/>
      <c r="F260" s="124"/>
      <c r="G260" s="44">
        <f>Source!F96</f>
        <v>175.2122</v>
      </c>
      <c r="H260" s="54"/>
      <c r="I260" s="54"/>
      <c r="J260" s="54"/>
      <c r="K260" s="54"/>
      <c r="L260" s="54"/>
    </row>
    <row r="261" spans="1:83" ht="14.25" x14ac:dyDescent="0.2">
      <c r="A261" s="54"/>
      <c r="B261" s="60"/>
      <c r="C261" s="121" t="s">
        <v>622</v>
      </c>
      <c r="D261" s="121"/>
      <c r="E261" s="121"/>
      <c r="F261" s="124"/>
      <c r="G261" s="44">
        <f>Source!F97</f>
        <v>60.27796</v>
      </c>
      <c r="H261" s="54"/>
      <c r="I261" s="54"/>
      <c r="J261" s="54"/>
      <c r="K261" s="54"/>
      <c r="L261" s="54"/>
    </row>
    <row r="264" spans="1:83" ht="16.5" x14ac:dyDescent="0.2">
      <c r="A264" s="103" t="s">
        <v>624</v>
      </c>
      <c r="B264" s="103"/>
      <c r="C264" s="103"/>
      <c r="D264" s="103"/>
      <c r="E264" s="103"/>
      <c r="F264" s="103"/>
      <c r="G264" s="103"/>
      <c r="H264" s="103"/>
      <c r="I264" s="103"/>
      <c r="J264" s="103"/>
      <c r="K264" s="103"/>
      <c r="L264" s="103"/>
    </row>
    <row r="265" spans="1:83" ht="42.75" x14ac:dyDescent="0.2">
      <c r="A265" s="37" t="s">
        <v>137</v>
      </c>
      <c r="B265" s="39" t="s">
        <v>582</v>
      </c>
      <c r="C265" s="39" t="str">
        <f>Source!G108</f>
        <v>Развозка конструкций и материалов опор ВЛ 0,38-10 кВ по трассе: одностоечных железобетонных опор</v>
      </c>
      <c r="D265" s="40" t="str">
        <f>Source!H108</f>
        <v>ШТ</v>
      </c>
      <c r="E265" s="41">
        <f>Source!K108</f>
        <v>44</v>
      </c>
      <c r="F265" s="41"/>
      <c r="G265" s="41">
        <f>Source!I108</f>
        <v>44</v>
      </c>
      <c r="H265" s="43"/>
      <c r="I265" s="42"/>
      <c r="J265" s="43"/>
      <c r="K265" s="42"/>
      <c r="L265" s="43"/>
    </row>
    <row r="266" spans="1:83" ht="15" x14ac:dyDescent="0.2">
      <c r="A266" s="38"/>
      <c r="B266" s="41">
        <v>1</v>
      </c>
      <c r="C266" s="38" t="s">
        <v>571</v>
      </c>
      <c r="D266" s="40" t="s">
        <v>372</v>
      </c>
      <c r="E266" s="44"/>
      <c r="F266" s="41"/>
      <c r="G266" s="44">
        <f>Source!U108</f>
        <v>19.36</v>
      </c>
      <c r="H266" s="41"/>
      <c r="I266" s="41"/>
      <c r="J266" s="41"/>
      <c r="K266" s="41"/>
      <c r="L266" s="45">
        <f>SUM(L267:L267)-SUMIF(CE267:CE267, 1, L267:L267)</f>
        <v>8079.51</v>
      </c>
    </row>
    <row r="267" spans="1:83" ht="14.25" x14ac:dyDescent="0.2">
      <c r="A267" s="39"/>
      <c r="B267" s="39" t="s">
        <v>384</v>
      </c>
      <c r="C267" s="39" t="s">
        <v>385</v>
      </c>
      <c r="D267" s="40" t="s">
        <v>372</v>
      </c>
      <c r="E267" s="41">
        <v>0.44</v>
      </c>
      <c r="F267" s="41"/>
      <c r="G267" s="41">
        <f>SmtRes!CX63</f>
        <v>19.36</v>
      </c>
      <c r="H267" s="43"/>
      <c r="I267" s="42"/>
      <c r="J267" s="43">
        <f>SmtRes!CZ63</f>
        <v>417.33</v>
      </c>
      <c r="K267" s="42"/>
      <c r="L267" s="43">
        <f>SmtRes!DI63</f>
        <v>8079.51</v>
      </c>
    </row>
    <row r="268" spans="1:83" ht="15" x14ac:dyDescent="0.2">
      <c r="A268" s="38"/>
      <c r="B268" s="41">
        <v>2</v>
      </c>
      <c r="C268" s="38" t="s">
        <v>572</v>
      </c>
      <c r="D268" s="40"/>
      <c r="E268" s="44"/>
      <c r="F268" s="41"/>
      <c r="G268" s="44"/>
      <c r="H268" s="41"/>
      <c r="I268" s="41"/>
      <c r="J268" s="41"/>
      <c r="K268" s="41"/>
      <c r="L268" s="45">
        <f>SUM(L269:L274)-SUMIF(CE269:CE274, 1, L269:L274)</f>
        <v>22465.979999999996</v>
      </c>
    </row>
    <row r="269" spans="1:83" ht="15" x14ac:dyDescent="0.2">
      <c r="A269" s="38"/>
      <c r="B269" s="41"/>
      <c r="C269" s="38" t="s">
        <v>575</v>
      </c>
      <c r="D269" s="40" t="s">
        <v>372</v>
      </c>
      <c r="E269" s="44"/>
      <c r="F269" s="41"/>
      <c r="G269" s="44">
        <f>Source!V108</f>
        <v>21.12</v>
      </c>
      <c r="H269" s="41"/>
      <c r="I269" s="41"/>
      <c r="J269" s="41"/>
      <c r="K269" s="41"/>
      <c r="L269" s="45">
        <f>SUMIF(CE270:CE274, 1, L270:L274)</f>
        <v>12138.619999999999</v>
      </c>
      <c r="CE269">
        <v>1</v>
      </c>
    </row>
    <row r="270" spans="1:83" ht="28.5" x14ac:dyDescent="0.2">
      <c r="A270" s="39"/>
      <c r="B270" s="39" t="s">
        <v>386</v>
      </c>
      <c r="C270" s="39" t="s">
        <v>388</v>
      </c>
      <c r="D270" s="40" t="s">
        <v>378</v>
      </c>
      <c r="E270" s="41">
        <v>0.24</v>
      </c>
      <c r="F270" s="41"/>
      <c r="G270" s="41">
        <f>SmtRes!CX65</f>
        <v>10.56</v>
      </c>
      <c r="H270" s="43"/>
      <c r="I270" s="42"/>
      <c r="J270" s="43">
        <f>SmtRes!CZ65</f>
        <v>1551.19</v>
      </c>
      <c r="K270" s="42"/>
      <c r="L270" s="43">
        <f>SmtRes!DG65</f>
        <v>16380.57</v>
      </c>
    </row>
    <row r="271" spans="1:83" ht="14.25" x14ac:dyDescent="0.2">
      <c r="A271" s="39"/>
      <c r="B271" s="39" t="s">
        <v>389</v>
      </c>
      <c r="C271" s="39" t="s">
        <v>583</v>
      </c>
      <c r="D271" s="40" t="s">
        <v>372</v>
      </c>
      <c r="E271" s="41">
        <f>SmtRes!DO65*SmtRes!AT65</f>
        <v>0.24</v>
      </c>
      <c r="F271" s="41"/>
      <c r="G271" s="41">
        <f>SmtRes!DO65*SmtRes!CX65</f>
        <v>10.56</v>
      </c>
      <c r="H271" s="43"/>
      <c r="I271" s="42"/>
      <c r="J271" s="43">
        <f>ROUND(SmtRes!AG65/SmtRes!DO65, 2)</f>
        <v>658.94</v>
      </c>
      <c r="K271" s="42"/>
      <c r="L271" s="43">
        <f>SmtRes!DH65</f>
        <v>6958.41</v>
      </c>
      <c r="CE271">
        <v>1</v>
      </c>
    </row>
    <row r="272" spans="1:83" ht="14.25" x14ac:dyDescent="0.2">
      <c r="A272" s="39"/>
      <c r="B272" s="39" t="s">
        <v>390</v>
      </c>
      <c r="C272" s="39" t="s">
        <v>392</v>
      </c>
      <c r="D272" s="40" t="s">
        <v>378</v>
      </c>
      <c r="E272" s="41">
        <v>0.24</v>
      </c>
      <c r="F272" s="41"/>
      <c r="G272" s="41">
        <f>SmtRes!CX66</f>
        <v>10.56</v>
      </c>
      <c r="H272" s="43"/>
      <c r="I272" s="42"/>
      <c r="J272" s="43">
        <f>SmtRes!CZ66</f>
        <v>16.66</v>
      </c>
      <c r="K272" s="42"/>
      <c r="L272" s="43">
        <f>SmtRes!DG66</f>
        <v>175.93</v>
      </c>
    </row>
    <row r="273" spans="1:83" ht="28.5" x14ac:dyDescent="0.2">
      <c r="A273" s="39"/>
      <c r="B273" s="39" t="s">
        <v>393</v>
      </c>
      <c r="C273" s="39" t="s">
        <v>395</v>
      </c>
      <c r="D273" s="40" t="s">
        <v>378</v>
      </c>
      <c r="E273" s="41">
        <v>0.24</v>
      </c>
      <c r="F273" s="41"/>
      <c r="G273" s="41">
        <f>SmtRes!CX67</f>
        <v>10.56</v>
      </c>
      <c r="H273" s="43">
        <f>SmtRes!CZ67</f>
        <v>482.42</v>
      </c>
      <c r="I273" s="42">
        <f>SmtRes!AJ67</f>
        <v>1.1599999999999999</v>
      </c>
      <c r="J273" s="43">
        <f>ROUND(H273*I273, 2)</f>
        <v>559.61</v>
      </c>
      <c r="K273" s="42"/>
      <c r="L273" s="43">
        <f>SmtRes!DG67</f>
        <v>5909.48</v>
      </c>
    </row>
    <row r="274" spans="1:83" ht="14.25" x14ac:dyDescent="0.2">
      <c r="A274" s="39"/>
      <c r="B274" s="39" t="s">
        <v>383</v>
      </c>
      <c r="C274" s="46" t="s">
        <v>574</v>
      </c>
      <c r="D274" s="47" t="s">
        <v>372</v>
      </c>
      <c r="E274" s="48">
        <f>SmtRes!DO67*SmtRes!AT67</f>
        <v>0.24</v>
      </c>
      <c r="F274" s="48"/>
      <c r="G274" s="48">
        <f>SmtRes!DO67*SmtRes!CX67</f>
        <v>10.56</v>
      </c>
      <c r="H274" s="49"/>
      <c r="I274" s="50"/>
      <c r="J274" s="49">
        <f>ROUND(SmtRes!AG67/SmtRes!DO67, 2)</f>
        <v>490.55</v>
      </c>
      <c r="K274" s="50"/>
      <c r="L274" s="49">
        <f>SmtRes!DH67</f>
        <v>5180.21</v>
      </c>
      <c r="CE274">
        <v>1</v>
      </c>
    </row>
    <row r="275" spans="1:83" ht="15" x14ac:dyDescent="0.2">
      <c r="A275" s="39"/>
      <c r="B275" s="39"/>
      <c r="C275" s="53" t="s">
        <v>576</v>
      </c>
      <c r="D275" s="40"/>
      <c r="E275" s="41"/>
      <c r="F275" s="41"/>
      <c r="G275" s="41"/>
      <c r="H275" s="43"/>
      <c r="I275" s="42"/>
      <c r="J275" s="43"/>
      <c r="K275" s="42"/>
      <c r="L275" s="43">
        <f>L266+L268+L269</f>
        <v>42684.11</v>
      </c>
    </row>
    <row r="276" spans="1:83" ht="14.25" x14ac:dyDescent="0.2">
      <c r="A276" s="39"/>
      <c r="B276" s="39"/>
      <c r="C276" s="39" t="s">
        <v>577</v>
      </c>
      <c r="D276" s="40"/>
      <c r="E276" s="41"/>
      <c r="F276" s="41"/>
      <c r="G276" s="41"/>
      <c r="H276" s="43"/>
      <c r="I276" s="42"/>
      <c r="J276" s="43"/>
      <c r="K276" s="42"/>
      <c r="L276" s="43">
        <f>SUM(AR265:AR279)+SUM(AS265:AS279)+SUM(AT265:AT279)+SUM(AU265:AU279)+SUM(AV265:AV279)</f>
        <v>20218.129999999997</v>
      </c>
    </row>
    <row r="277" spans="1:83" ht="14.25" x14ac:dyDescent="0.2">
      <c r="A277" s="39"/>
      <c r="B277" s="39" t="s">
        <v>82</v>
      </c>
      <c r="C277" s="39" t="s">
        <v>578</v>
      </c>
      <c r="D277" s="40" t="s">
        <v>408</v>
      </c>
      <c r="E277" s="41">
        <f>Source!BZ108</f>
        <v>103</v>
      </c>
      <c r="F277" s="41"/>
      <c r="G277" s="41">
        <f>Source!AT108</f>
        <v>103</v>
      </c>
      <c r="H277" s="43"/>
      <c r="I277" s="42"/>
      <c r="J277" s="43"/>
      <c r="K277" s="42"/>
      <c r="L277" s="43">
        <f>SUM(AZ265:AZ279)</f>
        <v>20824.669999999998</v>
      </c>
    </row>
    <row r="278" spans="1:83" ht="14.25" x14ac:dyDescent="0.2">
      <c r="A278" s="46"/>
      <c r="B278" s="46" t="s">
        <v>83</v>
      </c>
      <c r="C278" s="46" t="s">
        <v>579</v>
      </c>
      <c r="D278" s="47" t="s">
        <v>408</v>
      </c>
      <c r="E278" s="48">
        <f>Source!CA108</f>
        <v>60</v>
      </c>
      <c r="F278" s="48"/>
      <c r="G278" s="48">
        <f>Source!AU108</f>
        <v>60</v>
      </c>
      <c r="H278" s="49"/>
      <c r="I278" s="50"/>
      <c r="J278" s="49"/>
      <c r="K278" s="50"/>
      <c r="L278" s="49">
        <f>SUM(BA265:BA279)</f>
        <v>12130.88</v>
      </c>
    </row>
    <row r="279" spans="1:83" ht="15" x14ac:dyDescent="0.2">
      <c r="C279" s="104" t="s">
        <v>580</v>
      </c>
      <c r="D279" s="104"/>
      <c r="E279" s="104"/>
      <c r="F279" s="104"/>
      <c r="G279" s="104"/>
      <c r="H279" s="104"/>
      <c r="I279" s="105">
        <f>K279/E265</f>
        <v>1719.0831818181816</v>
      </c>
      <c r="J279" s="105"/>
      <c r="K279" s="105">
        <f>L266+L268+L277+L278+L269</f>
        <v>75639.659999999989</v>
      </c>
      <c r="L279" s="105"/>
      <c r="AD279">
        <f>ROUND((Source!AT108/100)*((ROUND(SUMIF(SmtRes!AQ63:'SmtRes'!AQ67,"=1",SmtRes!AD63:'SmtRes'!AD67)*Source!I108, 2)+ROUND(SUMIF(SmtRes!AQ63:'SmtRes'!AQ67,"=1",SmtRes!AC63:'SmtRes'!AC67)*Source!I108, 2))), 2)</f>
        <v>71008.28</v>
      </c>
      <c r="AE279">
        <f>ROUND((Source!AU108/100)*((ROUND(SUMIF(SmtRes!AQ63:'SmtRes'!AQ67,"=1",SmtRes!AD63:'SmtRes'!AD67)*Source!I108, 2)+ROUND(SUMIF(SmtRes!AQ63:'SmtRes'!AQ67,"=1",SmtRes!AC63:'SmtRes'!AC67)*Source!I108, 2))), 2)</f>
        <v>41364.050000000003</v>
      </c>
      <c r="AN279" s="51">
        <f>L266+L268+L277+L278+L269</f>
        <v>75639.659999999989</v>
      </c>
      <c r="AO279" s="51">
        <f>L268</f>
        <v>22465.979999999996</v>
      </c>
      <c r="AQ279" t="s">
        <v>581</v>
      </c>
      <c r="AR279" s="51">
        <f>L266</f>
        <v>8079.51</v>
      </c>
      <c r="AT279" s="51">
        <f>L269</f>
        <v>12138.619999999999</v>
      </c>
      <c r="AV279" t="s">
        <v>581</v>
      </c>
      <c r="AW279">
        <f>0</f>
        <v>0</v>
      </c>
      <c r="AZ279">
        <f>Source!X108</f>
        <v>20824.669999999998</v>
      </c>
      <c r="BA279">
        <f>Source!Y108</f>
        <v>12130.88</v>
      </c>
      <c r="CD279">
        <v>1</v>
      </c>
    </row>
    <row r="280" spans="1:83" ht="42.75" x14ac:dyDescent="0.2">
      <c r="A280" s="37" t="s">
        <v>139</v>
      </c>
      <c r="B280" s="39" t="s">
        <v>584</v>
      </c>
      <c r="C280" s="39" t="str">
        <f>Source!G109</f>
        <v>Развозка конструкций и материалов опор ВЛ 0,38-10 кВ по трассе: материалов оснастки одностоечных опор</v>
      </c>
      <c r="D280" s="40" t="str">
        <f>Source!H109</f>
        <v>ШТ</v>
      </c>
      <c r="E280" s="41">
        <f>Source!K109</f>
        <v>44</v>
      </c>
      <c r="F280" s="41"/>
      <c r="G280" s="41">
        <f>Source!I109</f>
        <v>44</v>
      </c>
      <c r="H280" s="43"/>
      <c r="I280" s="42"/>
      <c r="J280" s="43"/>
      <c r="K280" s="42"/>
      <c r="L280" s="43"/>
    </row>
    <row r="281" spans="1:83" ht="15" x14ac:dyDescent="0.2">
      <c r="A281" s="38"/>
      <c r="B281" s="41">
        <v>1</v>
      </c>
      <c r="C281" s="38" t="s">
        <v>571</v>
      </c>
      <c r="D281" s="40" t="s">
        <v>372</v>
      </c>
      <c r="E281" s="44"/>
      <c r="F281" s="41"/>
      <c r="G281" s="44">
        <f>Source!U109</f>
        <v>11</v>
      </c>
      <c r="H281" s="41"/>
      <c r="I281" s="41"/>
      <c r="J281" s="41"/>
      <c r="K281" s="41"/>
      <c r="L281" s="45">
        <f>SUM(L282:L282)-SUMIF(CE282:CE282, 1, L282:L282)</f>
        <v>4590.63</v>
      </c>
    </row>
    <row r="282" spans="1:83" ht="14.25" x14ac:dyDescent="0.2">
      <c r="A282" s="39"/>
      <c r="B282" s="39" t="s">
        <v>384</v>
      </c>
      <c r="C282" s="39" t="s">
        <v>385</v>
      </c>
      <c r="D282" s="40" t="s">
        <v>372</v>
      </c>
      <c r="E282" s="41">
        <v>0.25</v>
      </c>
      <c r="F282" s="41"/>
      <c r="G282" s="41">
        <f>SmtRes!CX68</f>
        <v>11</v>
      </c>
      <c r="H282" s="43"/>
      <c r="I282" s="42"/>
      <c r="J282" s="43">
        <f>SmtRes!CZ68</f>
        <v>417.33</v>
      </c>
      <c r="K282" s="42"/>
      <c r="L282" s="43">
        <f>SmtRes!DI68</f>
        <v>4590.63</v>
      </c>
    </row>
    <row r="283" spans="1:83" ht="15" x14ac:dyDescent="0.2">
      <c r="A283" s="38"/>
      <c r="B283" s="41">
        <v>2</v>
      </c>
      <c r="C283" s="38" t="s">
        <v>572</v>
      </c>
      <c r="D283" s="40"/>
      <c r="E283" s="44"/>
      <c r="F283" s="41"/>
      <c r="G283" s="44"/>
      <c r="H283" s="41"/>
      <c r="I283" s="41"/>
      <c r="J283" s="41"/>
      <c r="K283" s="41"/>
      <c r="L283" s="45">
        <f>SUM(L284:L287)-SUMIF(CE284:CE287, 1, L284:L287)</f>
        <v>3549.83</v>
      </c>
    </row>
    <row r="284" spans="1:83" ht="15" x14ac:dyDescent="0.2">
      <c r="A284" s="38"/>
      <c r="B284" s="41"/>
      <c r="C284" s="38" t="s">
        <v>575</v>
      </c>
      <c r="D284" s="40" t="s">
        <v>372</v>
      </c>
      <c r="E284" s="44"/>
      <c r="F284" s="41"/>
      <c r="G284" s="44">
        <f>Source!V109</f>
        <v>6.16</v>
      </c>
      <c r="H284" s="41"/>
      <c r="I284" s="41"/>
      <c r="J284" s="41"/>
      <c r="K284" s="41"/>
      <c r="L284" s="45">
        <f>SUMIF(CE285:CE287, 1, L285:L287)</f>
        <v>3021.79</v>
      </c>
      <c r="CE284">
        <v>1</v>
      </c>
    </row>
    <row r="285" spans="1:83" ht="14.25" x14ac:dyDescent="0.2">
      <c r="A285" s="39"/>
      <c r="B285" s="39" t="s">
        <v>390</v>
      </c>
      <c r="C285" s="39" t="s">
        <v>392</v>
      </c>
      <c r="D285" s="40" t="s">
        <v>378</v>
      </c>
      <c r="E285" s="41">
        <v>0.14000000000000001</v>
      </c>
      <c r="F285" s="41"/>
      <c r="G285" s="41">
        <f>SmtRes!CX70</f>
        <v>6.16</v>
      </c>
      <c r="H285" s="43"/>
      <c r="I285" s="42"/>
      <c r="J285" s="43">
        <f>SmtRes!CZ70</f>
        <v>16.66</v>
      </c>
      <c r="K285" s="42"/>
      <c r="L285" s="43">
        <f>SmtRes!DG70</f>
        <v>102.63</v>
      </c>
    </row>
    <row r="286" spans="1:83" ht="28.5" x14ac:dyDescent="0.2">
      <c r="A286" s="39"/>
      <c r="B286" s="39" t="s">
        <v>393</v>
      </c>
      <c r="C286" s="39" t="s">
        <v>395</v>
      </c>
      <c r="D286" s="40" t="s">
        <v>378</v>
      </c>
      <c r="E286" s="41">
        <v>0.14000000000000001</v>
      </c>
      <c r="F286" s="41"/>
      <c r="G286" s="41">
        <f>SmtRes!CX71</f>
        <v>6.16</v>
      </c>
      <c r="H286" s="43">
        <f>SmtRes!CZ71</f>
        <v>482.42</v>
      </c>
      <c r="I286" s="42">
        <f>SmtRes!AJ71</f>
        <v>1.1599999999999999</v>
      </c>
      <c r="J286" s="43">
        <f>ROUND(H286*I286, 2)</f>
        <v>559.61</v>
      </c>
      <c r="K286" s="42"/>
      <c r="L286" s="43">
        <f>SmtRes!DG71</f>
        <v>3447.2</v>
      </c>
    </row>
    <row r="287" spans="1:83" ht="14.25" x14ac:dyDescent="0.2">
      <c r="A287" s="39"/>
      <c r="B287" s="39" t="s">
        <v>383</v>
      </c>
      <c r="C287" s="46" t="s">
        <v>574</v>
      </c>
      <c r="D287" s="47" t="s">
        <v>372</v>
      </c>
      <c r="E287" s="48">
        <f>SmtRes!DO71*SmtRes!AT71</f>
        <v>0.14000000000000001</v>
      </c>
      <c r="F287" s="48"/>
      <c r="G287" s="48">
        <f>SmtRes!DO71*SmtRes!CX71</f>
        <v>6.16</v>
      </c>
      <c r="H287" s="49"/>
      <c r="I287" s="50"/>
      <c r="J287" s="49">
        <f>ROUND(SmtRes!AG71/SmtRes!DO71, 2)</f>
        <v>490.55</v>
      </c>
      <c r="K287" s="50"/>
      <c r="L287" s="49">
        <f>SmtRes!DH71</f>
        <v>3021.79</v>
      </c>
      <c r="CE287">
        <v>1</v>
      </c>
    </row>
    <row r="288" spans="1:83" ht="15" x14ac:dyDescent="0.2">
      <c r="A288" s="39"/>
      <c r="B288" s="39"/>
      <c r="C288" s="53" t="s">
        <v>576</v>
      </c>
      <c r="D288" s="40"/>
      <c r="E288" s="41"/>
      <c r="F288" s="41"/>
      <c r="G288" s="41"/>
      <c r="H288" s="43"/>
      <c r="I288" s="42"/>
      <c r="J288" s="43"/>
      <c r="K288" s="42"/>
      <c r="L288" s="43">
        <f>L281+L283+L284</f>
        <v>11162.25</v>
      </c>
    </row>
    <row r="289" spans="1:83" ht="14.25" x14ac:dyDescent="0.2">
      <c r="A289" s="39"/>
      <c r="B289" s="39"/>
      <c r="C289" s="39" t="s">
        <v>577</v>
      </c>
      <c r="D289" s="40"/>
      <c r="E289" s="41"/>
      <c r="F289" s="41"/>
      <c r="G289" s="41"/>
      <c r="H289" s="43"/>
      <c r="I289" s="42"/>
      <c r="J289" s="43"/>
      <c r="K289" s="42"/>
      <c r="L289" s="43">
        <f>SUM(AR280:AR292)+SUM(AS280:AS292)+SUM(AT280:AT292)+SUM(AU280:AU292)+SUM(AV280:AV292)</f>
        <v>7612.42</v>
      </c>
    </row>
    <row r="290" spans="1:83" ht="14.25" x14ac:dyDescent="0.2">
      <c r="A290" s="39"/>
      <c r="B290" s="39" t="s">
        <v>82</v>
      </c>
      <c r="C290" s="39" t="s">
        <v>578</v>
      </c>
      <c r="D290" s="40" t="s">
        <v>408</v>
      </c>
      <c r="E290" s="41">
        <f>Source!BZ109</f>
        <v>103</v>
      </c>
      <c r="F290" s="41"/>
      <c r="G290" s="41">
        <f>Source!AT109</f>
        <v>103</v>
      </c>
      <c r="H290" s="43"/>
      <c r="I290" s="42"/>
      <c r="J290" s="43"/>
      <c r="K290" s="42"/>
      <c r="L290" s="43">
        <f>SUM(AZ280:AZ292)</f>
        <v>7840.79</v>
      </c>
    </row>
    <row r="291" spans="1:83" ht="14.25" x14ac:dyDescent="0.2">
      <c r="A291" s="46"/>
      <c r="B291" s="46" t="s">
        <v>83</v>
      </c>
      <c r="C291" s="46" t="s">
        <v>579</v>
      </c>
      <c r="D291" s="47" t="s">
        <v>408</v>
      </c>
      <c r="E291" s="48">
        <f>Source!CA109</f>
        <v>60</v>
      </c>
      <c r="F291" s="48"/>
      <c r="G291" s="48">
        <f>Source!AU109</f>
        <v>60</v>
      </c>
      <c r="H291" s="49"/>
      <c r="I291" s="50"/>
      <c r="J291" s="49"/>
      <c r="K291" s="50"/>
      <c r="L291" s="49">
        <f>SUM(BA280:BA292)</f>
        <v>4567.45</v>
      </c>
    </row>
    <row r="292" spans="1:83" ht="15" x14ac:dyDescent="0.2">
      <c r="C292" s="104" t="s">
        <v>580</v>
      </c>
      <c r="D292" s="104"/>
      <c r="E292" s="104"/>
      <c r="F292" s="104"/>
      <c r="G292" s="104"/>
      <c r="H292" s="104"/>
      <c r="I292" s="105">
        <f>K292/E280</f>
        <v>535.69295454545454</v>
      </c>
      <c r="J292" s="105"/>
      <c r="K292" s="105">
        <f>L281+L283+L290+L291+L284</f>
        <v>23570.49</v>
      </c>
      <c r="L292" s="105"/>
      <c r="AD292">
        <f>ROUND((Source!AT109/100)*((ROUND(SUMIF(SmtRes!AQ68:'SmtRes'!AQ71,"=1",SmtRes!AD68:'SmtRes'!AD71)*Source!I109, 2)+ROUND(SUMIF(SmtRes!AQ68:'SmtRes'!AQ71,"=1",SmtRes!AC68:'SmtRes'!AC71)*Source!I109, 2))), 2)</f>
        <v>41145.120000000003</v>
      </c>
      <c r="AE292">
        <f>ROUND((Source!AU109/100)*((ROUND(SUMIF(SmtRes!AQ68:'SmtRes'!AQ71,"=1",SmtRes!AD68:'SmtRes'!AD71)*Source!I109, 2)+ROUND(SUMIF(SmtRes!AQ68:'SmtRes'!AQ71,"=1",SmtRes!AC68:'SmtRes'!AC71)*Source!I109, 2))), 2)</f>
        <v>23968.03</v>
      </c>
      <c r="AN292" s="51">
        <f>L281+L283+L290+L291+L284</f>
        <v>23570.49</v>
      </c>
      <c r="AO292" s="51">
        <f>L283</f>
        <v>3549.83</v>
      </c>
      <c r="AQ292" t="s">
        <v>581</v>
      </c>
      <c r="AR292" s="51">
        <f>L281</f>
        <v>4590.63</v>
      </c>
      <c r="AT292" s="51">
        <f>L284</f>
        <v>3021.79</v>
      </c>
      <c r="AV292" t="s">
        <v>581</v>
      </c>
      <c r="AW292">
        <f>0</f>
        <v>0</v>
      </c>
      <c r="AZ292">
        <f>Source!X109</f>
        <v>7840.79</v>
      </c>
      <c r="BA292">
        <f>Source!Y109</f>
        <v>4567.45</v>
      </c>
      <c r="CD292">
        <v>1</v>
      </c>
    </row>
    <row r="293" spans="1:83" ht="28.5" x14ac:dyDescent="0.2">
      <c r="A293" s="37" t="s">
        <v>141</v>
      </c>
      <c r="B293" s="39" t="s">
        <v>625</v>
      </c>
      <c r="C293" s="39" t="str">
        <f>Source!G110</f>
        <v>Установка железобетонных опор ВЛ 0,38; 6-10 кВ с траверсами без приставок: одностоечных</v>
      </c>
      <c r="D293" s="40" t="str">
        <f>Source!H110</f>
        <v>ШТ</v>
      </c>
      <c r="E293" s="41">
        <f>Source!K110</f>
        <v>20</v>
      </c>
      <c r="F293" s="41"/>
      <c r="G293" s="41">
        <f>Source!I110</f>
        <v>20</v>
      </c>
      <c r="H293" s="43"/>
      <c r="I293" s="42"/>
      <c r="J293" s="43"/>
      <c r="K293" s="42"/>
      <c r="L293" s="43"/>
    </row>
    <row r="294" spans="1:83" ht="15" x14ac:dyDescent="0.2">
      <c r="A294" s="38"/>
      <c r="B294" s="41">
        <v>1</v>
      </c>
      <c r="C294" s="38" t="s">
        <v>571</v>
      </c>
      <c r="D294" s="40" t="s">
        <v>372</v>
      </c>
      <c r="E294" s="44"/>
      <c r="F294" s="41"/>
      <c r="G294" s="44">
        <f>Source!U110</f>
        <v>61.2</v>
      </c>
      <c r="H294" s="41"/>
      <c r="I294" s="41"/>
      <c r="J294" s="41"/>
      <c r="K294" s="41"/>
      <c r="L294" s="45">
        <f>SUM(L295:L295)-SUMIF(CE295:CE295, 1, L295:L295)</f>
        <v>27669.13</v>
      </c>
    </row>
    <row r="295" spans="1:83" ht="14.25" x14ac:dyDescent="0.2">
      <c r="A295" s="39"/>
      <c r="B295" s="39" t="s">
        <v>447</v>
      </c>
      <c r="C295" s="39" t="s">
        <v>448</v>
      </c>
      <c r="D295" s="40" t="s">
        <v>372</v>
      </c>
      <c r="E295" s="41">
        <v>3.06</v>
      </c>
      <c r="F295" s="41"/>
      <c r="G295" s="41">
        <f>SmtRes!CX72</f>
        <v>61.2</v>
      </c>
      <c r="H295" s="43"/>
      <c r="I295" s="42"/>
      <c r="J295" s="43">
        <f>SmtRes!CZ72</f>
        <v>452.11</v>
      </c>
      <c r="K295" s="42"/>
      <c r="L295" s="43">
        <f>SmtRes!DI72</f>
        <v>27669.13</v>
      </c>
    </row>
    <row r="296" spans="1:83" ht="15" x14ac:dyDescent="0.2">
      <c r="A296" s="38"/>
      <c r="B296" s="41">
        <v>2</v>
      </c>
      <c r="C296" s="38" t="s">
        <v>572</v>
      </c>
      <c r="D296" s="40"/>
      <c r="E296" s="44"/>
      <c r="F296" s="41"/>
      <c r="G296" s="44"/>
      <c r="H296" s="41"/>
      <c r="I296" s="41"/>
      <c r="J296" s="41"/>
      <c r="K296" s="41"/>
      <c r="L296" s="45">
        <f>SUM(L297:L301)-SUMIF(CE297:CE301, 1, L297:L301)</f>
        <v>36854.339999999997</v>
      </c>
    </row>
    <row r="297" spans="1:83" ht="15" x14ac:dyDescent="0.2">
      <c r="A297" s="38"/>
      <c r="B297" s="41"/>
      <c r="C297" s="38" t="s">
        <v>575</v>
      </c>
      <c r="D297" s="40" t="s">
        <v>372</v>
      </c>
      <c r="E297" s="44"/>
      <c r="F297" s="41"/>
      <c r="G297" s="44">
        <f>Source!V110</f>
        <v>17.399999999999999</v>
      </c>
      <c r="H297" s="41"/>
      <c r="I297" s="41"/>
      <c r="J297" s="41"/>
      <c r="K297" s="41"/>
      <c r="L297" s="45">
        <f>SUMIF(CE298:CE301, 1, L298:L301)</f>
        <v>9531.23</v>
      </c>
      <c r="CE297">
        <v>1</v>
      </c>
    </row>
    <row r="298" spans="1:83" ht="42.75" x14ac:dyDescent="0.2">
      <c r="A298" s="39"/>
      <c r="B298" s="39" t="s">
        <v>375</v>
      </c>
      <c r="C298" s="39" t="s">
        <v>377</v>
      </c>
      <c r="D298" s="40" t="s">
        <v>378</v>
      </c>
      <c r="E298" s="41">
        <v>0.68</v>
      </c>
      <c r="F298" s="41"/>
      <c r="G298" s="41">
        <f>SmtRes!CX74</f>
        <v>13.6</v>
      </c>
      <c r="H298" s="43">
        <f>SmtRes!CZ74</f>
        <v>2088.77</v>
      </c>
      <c r="I298" s="42">
        <f>SmtRes!AJ74</f>
        <v>1.22</v>
      </c>
      <c r="J298" s="43">
        <f>ROUND(H298*I298, 2)</f>
        <v>2548.3000000000002</v>
      </c>
      <c r="K298" s="42"/>
      <c r="L298" s="43">
        <f>SmtRes!DG74</f>
        <v>34656.879999999997</v>
      </c>
    </row>
    <row r="299" spans="1:83" ht="14.25" x14ac:dyDescent="0.2">
      <c r="A299" s="39"/>
      <c r="B299" s="39" t="s">
        <v>379</v>
      </c>
      <c r="C299" s="39" t="s">
        <v>573</v>
      </c>
      <c r="D299" s="40" t="s">
        <v>372</v>
      </c>
      <c r="E299" s="41">
        <f>SmtRes!DO74*SmtRes!AT74</f>
        <v>0.68</v>
      </c>
      <c r="F299" s="41"/>
      <c r="G299" s="41">
        <f>SmtRes!DO74*SmtRes!CX74</f>
        <v>13.6</v>
      </c>
      <c r="H299" s="43"/>
      <c r="I299" s="42"/>
      <c r="J299" s="43">
        <f>ROUND(SmtRes!AG74/SmtRes!DO74, 2)</f>
        <v>563.76</v>
      </c>
      <c r="K299" s="42"/>
      <c r="L299" s="43">
        <f>SmtRes!DH74</f>
        <v>7667.14</v>
      </c>
      <c r="CE299">
        <v>1</v>
      </c>
    </row>
    <row r="300" spans="1:83" ht="28.5" x14ac:dyDescent="0.2">
      <c r="A300" s="39"/>
      <c r="B300" s="39" t="s">
        <v>380</v>
      </c>
      <c r="C300" s="39" t="s">
        <v>382</v>
      </c>
      <c r="D300" s="40" t="s">
        <v>378</v>
      </c>
      <c r="E300" s="41">
        <v>0.19</v>
      </c>
      <c r="F300" s="41"/>
      <c r="G300" s="41">
        <f>SmtRes!CX75</f>
        <v>3.8</v>
      </c>
      <c r="H300" s="43">
        <f>SmtRes!CZ75</f>
        <v>477.92</v>
      </c>
      <c r="I300" s="42">
        <f>SmtRes!AJ75</f>
        <v>1.21</v>
      </c>
      <c r="J300" s="43">
        <f>ROUND(H300*I300, 2)</f>
        <v>578.28</v>
      </c>
      <c r="K300" s="42"/>
      <c r="L300" s="43">
        <f>SmtRes!DG75</f>
        <v>2197.46</v>
      </c>
    </row>
    <row r="301" spans="1:83" ht="14.25" x14ac:dyDescent="0.2">
      <c r="A301" s="39"/>
      <c r="B301" s="39" t="s">
        <v>383</v>
      </c>
      <c r="C301" s="39" t="s">
        <v>574</v>
      </c>
      <c r="D301" s="40" t="s">
        <v>372</v>
      </c>
      <c r="E301" s="41">
        <f>SmtRes!DO75*SmtRes!AT75</f>
        <v>0.19</v>
      </c>
      <c r="F301" s="41"/>
      <c r="G301" s="41">
        <f>SmtRes!DO75*SmtRes!CX75</f>
        <v>3.8</v>
      </c>
      <c r="H301" s="43"/>
      <c r="I301" s="42"/>
      <c r="J301" s="43">
        <f>ROUND(SmtRes!AG75/SmtRes!DO75, 2)</f>
        <v>490.55</v>
      </c>
      <c r="K301" s="42"/>
      <c r="L301" s="43">
        <f>SmtRes!DH75</f>
        <v>1864.09</v>
      </c>
      <c r="CE301">
        <v>1</v>
      </c>
    </row>
    <row r="302" spans="1:83" ht="15" x14ac:dyDescent="0.2">
      <c r="A302" s="38"/>
      <c r="B302" s="41">
        <v>4</v>
      </c>
      <c r="C302" s="38" t="s">
        <v>591</v>
      </c>
      <c r="D302" s="40"/>
      <c r="E302" s="44"/>
      <c r="F302" s="41"/>
      <c r="G302" s="44"/>
      <c r="H302" s="41"/>
      <c r="I302" s="41"/>
      <c r="J302" s="41"/>
      <c r="K302" s="41"/>
      <c r="L302" s="45">
        <f>SUM(L303:L309)-SUMIF(CE303:CE309, 1, L303:L309)</f>
        <v>3198</v>
      </c>
    </row>
    <row r="303" spans="1:83" ht="14.25" x14ac:dyDescent="0.2">
      <c r="A303" s="39"/>
      <c r="B303" s="39" t="s">
        <v>450</v>
      </c>
      <c r="C303" s="39" t="s">
        <v>452</v>
      </c>
      <c r="D303" s="40" t="s">
        <v>253</v>
      </c>
      <c r="E303" s="41">
        <v>0.1</v>
      </c>
      <c r="F303" s="41"/>
      <c r="G303" s="41">
        <f>SmtRes!CX76</f>
        <v>2</v>
      </c>
      <c r="H303" s="43">
        <f>SmtRes!CZ76</f>
        <v>238.29</v>
      </c>
      <c r="I303" s="42">
        <f>SmtRes!AI76</f>
        <v>1.77</v>
      </c>
      <c r="J303" s="43">
        <f t="shared" ref="J303:J309" si="1">ROUND(H303*I303, 2)</f>
        <v>421.77</v>
      </c>
      <c r="K303" s="42"/>
      <c r="L303" s="43">
        <f>SmtRes!DF76</f>
        <v>843.54</v>
      </c>
    </row>
    <row r="304" spans="1:83" ht="14.25" x14ac:dyDescent="0.2">
      <c r="A304" s="39"/>
      <c r="B304" s="39" t="s">
        <v>453</v>
      </c>
      <c r="C304" s="39" t="s">
        <v>455</v>
      </c>
      <c r="D304" s="40" t="s">
        <v>253</v>
      </c>
      <c r="E304" s="41">
        <v>0.03</v>
      </c>
      <c r="F304" s="41"/>
      <c r="G304" s="41">
        <f>SmtRes!CX77</f>
        <v>0.6</v>
      </c>
      <c r="H304" s="43">
        <f>SmtRes!CZ77</f>
        <v>58.53</v>
      </c>
      <c r="I304" s="42">
        <f>SmtRes!AI77</f>
        <v>1.77</v>
      </c>
      <c r="J304" s="43">
        <f t="shared" si="1"/>
        <v>103.6</v>
      </c>
      <c r="K304" s="42"/>
      <c r="L304" s="43">
        <f>SmtRes!DF77</f>
        <v>62.16</v>
      </c>
    </row>
    <row r="305" spans="1:83" ht="14.25" x14ac:dyDescent="0.2">
      <c r="A305" s="39"/>
      <c r="B305" s="39" t="s">
        <v>411</v>
      </c>
      <c r="C305" s="39" t="s">
        <v>413</v>
      </c>
      <c r="D305" s="40" t="s">
        <v>253</v>
      </c>
      <c r="E305" s="41">
        <v>0</v>
      </c>
      <c r="F305" s="41"/>
      <c r="G305" s="41">
        <f>SmtRes!CX78</f>
        <v>0</v>
      </c>
      <c r="H305" s="43">
        <f>SmtRes!CZ78</f>
        <v>174.93</v>
      </c>
      <c r="I305" s="42">
        <f>SmtRes!AI78</f>
        <v>1.1499999999999999</v>
      </c>
      <c r="J305" s="43">
        <f t="shared" si="1"/>
        <v>201.17</v>
      </c>
      <c r="K305" s="42"/>
      <c r="L305" s="43">
        <f>SmtRes!DF78</f>
        <v>0</v>
      </c>
    </row>
    <row r="306" spans="1:83" ht="14.25" x14ac:dyDescent="0.2">
      <c r="A306" s="39"/>
      <c r="B306" s="39" t="s">
        <v>456</v>
      </c>
      <c r="C306" s="39" t="s">
        <v>458</v>
      </c>
      <c r="D306" s="40" t="s">
        <v>253</v>
      </c>
      <c r="E306" s="41">
        <v>0.02</v>
      </c>
      <c r="F306" s="41"/>
      <c r="G306" s="41">
        <f>SmtRes!CX79</f>
        <v>0.4</v>
      </c>
      <c r="H306" s="43">
        <f>SmtRes!CZ79</f>
        <v>56.11</v>
      </c>
      <c r="I306" s="42">
        <f>SmtRes!AI79</f>
        <v>1.39</v>
      </c>
      <c r="J306" s="43">
        <f t="shared" si="1"/>
        <v>77.989999999999995</v>
      </c>
      <c r="K306" s="42"/>
      <c r="L306" s="43">
        <f>SmtRes!DF79</f>
        <v>31.2</v>
      </c>
    </row>
    <row r="307" spans="1:83" ht="14.25" x14ac:dyDescent="0.2">
      <c r="A307" s="39"/>
      <c r="B307" s="39" t="s">
        <v>467</v>
      </c>
      <c r="C307" s="39" t="s">
        <v>469</v>
      </c>
      <c r="D307" s="40" t="s">
        <v>244</v>
      </c>
      <c r="E307" s="41">
        <v>4.0000000000000002E-4</v>
      </c>
      <c r="F307" s="41"/>
      <c r="G307" s="41">
        <f>SmtRes!CX84</f>
        <v>8.0000000000000002E-3</v>
      </c>
      <c r="H307" s="43">
        <f>SmtRes!CZ84</f>
        <v>61265.39</v>
      </c>
      <c r="I307" s="42">
        <f>SmtRes!AI84</f>
        <v>1.31</v>
      </c>
      <c r="J307" s="43">
        <f t="shared" si="1"/>
        <v>80257.66</v>
      </c>
      <c r="K307" s="42"/>
      <c r="L307" s="43">
        <f>SmtRes!DF84</f>
        <v>642.05999999999995</v>
      </c>
    </row>
    <row r="308" spans="1:83" ht="14.25" x14ac:dyDescent="0.2">
      <c r="A308" s="39"/>
      <c r="B308" s="39" t="s">
        <v>470</v>
      </c>
      <c r="C308" s="39" t="s">
        <v>472</v>
      </c>
      <c r="D308" s="40" t="s">
        <v>244</v>
      </c>
      <c r="E308" s="41">
        <v>1E-4</v>
      </c>
      <c r="F308" s="41"/>
      <c r="G308" s="41">
        <f>SmtRes!CX85</f>
        <v>2E-3</v>
      </c>
      <c r="H308" s="43">
        <f>SmtRes!CZ85</f>
        <v>80020.98</v>
      </c>
      <c r="I308" s="42">
        <f>SmtRes!AI85</f>
        <v>1.22</v>
      </c>
      <c r="J308" s="43">
        <f t="shared" si="1"/>
        <v>97625.600000000006</v>
      </c>
      <c r="K308" s="42"/>
      <c r="L308" s="43">
        <f>SmtRes!DF85</f>
        <v>195.25</v>
      </c>
    </row>
    <row r="309" spans="1:83" ht="14.25" x14ac:dyDescent="0.2">
      <c r="A309" s="39"/>
      <c r="B309" s="39" t="s">
        <v>473</v>
      </c>
      <c r="C309" s="46" t="s">
        <v>475</v>
      </c>
      <c r="D309" s="47" t="s">
        <v>162</v>
      </c>
      <c r="E309" s="48">
        <v>0.06</v>
      </c>
      <c r="F309" s="48"/>
      <c r="G309" s="48">
        <f>SmtRes!CX86</f>
        <v>1.2</v>
      </c>
      <c r="H309" s="49">
        <f>SmtRes!CZ86</f>
        <v>1031.73</v>
      </c>
      <c r="I309" s="50">
        <f>SmtRes!AI86</f>
        <v>1.1499999999999999</v>
      </c>
      <c r="J309" s="49">
        <f t="shared" si="1"/>
        <v>1186.49</v>
      </c>
      <c r="K309" s="50"/>
      <c r="L309" s="49">
        <f>SmtRes!DF86</f>
        <v>1423.79</v>
      </c>
    </row>
    <row r="310" spans="1:83" ht="15" x14ac:dyDescent="0.2">
      <c r="A310" s="39"/>
      <c r="B310" s="39"/>
      <c r="C310" s="53" t="s">
        <v>576</v>
      </c>
      <c r="D310" s="40"/>
      <c r="E310" s="41"/>
      <c r="F310" s="41"/>
      <c r="G310" s="41"/>
      <c r="H310" s="43"/>
      <c r="I310" s="42"/>
      <c r="J310" s="43"/>
      <c r="K310" s="42"/>
      <c r="L310" s="43">
        <f>L294+L296+L297+L302</f>
        <v>77252.7</v>
      </c>
    </row>
    <row r="311" spans="1:83" ht="14.25" x14ac:dyDescent="0.2">
      <c r="A311" s="39"/>
      <c r="B311" s="39"/>
      <c r="C311" s="39" t="s">
        <v>577</v>
      </c>
      <c r="D311" s="40"/>
      <c r="E311" s="41"/>
      <c r="F311" s="41"/>
      <c r="G311" s="41"/>
      <c r="H311" s="43"/>
      <c r="I311" s="42"/>
      <c r="J311" s="43"/>
      <c r="K311" s="42"/>
      <c r="L311" s="43">
        <f>SUM(AR293:AR314)+SUM(AS293:AS314)+SUM(AT293:AT314)+SUM(AU293:AU314)+SUM(AV293:AV314)</f>
        <v>37200.36</v>
      </c>
    </row>
    <row r="312" spans="1:83" ht="14.25" x14ac:dyDescent="0.2">
      <c r="A312" s="39"/>
      <c r="B312" s="39" t="s">
        <v>82</v>
      </c>
      <c r="C312" s="39" t="s">
        <v>578</v>
      </c>
      <c r="D312" s="40" t="s">
        <v>408</v>
      </c>
      <c r="E312" s="41">
        <f>Source!BZ110</f>
        <v>103</v>
      </c>
      <c r="F312" s="41"/>
      <c r="G312" s="41">
        <f>Source!AT110</f>
        <v>103</v>
      </c>
      <c r="H312" s="43"/>
      <c r="I312" s="42"/>
      <c r="J312" s="43"/>
      <c r="K312" s="42"/>
      <c r="L312" s="43">
        <f>SUM(AZ293:AZ314)</f>
        <v>38316.370000000003</v>
      </c>
    </row>
    <row r="313" spans="1:83" ht="14.25" x14ac:dyDescent="0.2">
      <c r="A313" s="46"/>
      <c r="B313" s="46" t="s">
        <v>83</v>
      </c>
      <c r="C313" s="46" t="s">
        <v>579</v>
      </c>
      <c r="D313" s="47" t="s">
        <v>408</v>
      </c>
      <c r="E313" s="48">
        <f>Source!CA110</f>
        <v>60</v>
      </c>
      <c r="F313" s="48"/>
      <c r="G313" s="48">
        <f>Source!AU110</f>
        <v>60</v>
      </c>
      <c r="H313" s="49"/>
      <c r="I313" s="50"/>
      <c r="J313" s="49"/>
      <c r="K313" s="50"/>
      <c r="L313" s="49">
        <f>SUM(BA293:BA314)</f>
        <v>22320.22</v>
      </c>
    </row>
    <row r="314" spans="1:83" ht="15" x14ac:dyDescent="0.2">
      <c r="C314" s="104" t="s">
        <v>580</v>
      </c>
      <c r="D314" s="104"/>
      <c r="E314" s="104"/>
      <c r="F314" s="104"/>
      <c r="G314" s="104"/>
      <c r="H314" s="104"/>
      <c r="I314" s="105">
        <f>K314/E293</f>
        <v>6894.4645</v>
      </c>
      <c r="J314" s="105"/>
      <c r="K314" s="105">
        <f>L294+L296+L302+L312+L313+L297</f>
        <v>137889.29</v>
      </c>
      <c r="L314" s="105"/>
      <c r="AD314">
        <f>ROUND((Source!AT110/100)*((ROUND(SUMIF(SmtRes!AQ72:'SmtRes'!AQ89,"=1",SmtRes!AD72:'SmtRes'!AD89)*Source!I110, 2)+ROUND(SUMIF(SmtRes!AQ72:'SmtRes'!AQ89,"=1",SmtRes!AC72:'SmtRes'!AC89)*Source!I110, 2))), 2)</f>
        <v>31032.25</v>
      </c>
      <c r="AE314">
        <f>ROUND((Source!AU110/100)*((ROUND(SUMIF(SmtRes!AQ72:'SmtRes'!AQ89,"=1",SmtRes!AD72:'SmtRes'!AD89)*Source!I110, 2)+ROUND(SUMIF(SmtRes!AQ72:'SmtRes'!AQ89,"=1",SmtRes!AC72:'SmtRes'!AC89)*Source!I110, 2))), 2)</f>
        <v>18077.04</v>
      </c>
      <c r="AN314" s="51">
        <f>L294+L296+L302+L312+L313+L297</f>
        <v>137889.29</v>
      </c>
      <c r="AO314" s="51">
        <f>L296</f>
        <v>36854.339999999997</v>
      </c>
      <c r="AQ314" t="s">
        <v>581</v>
      </c>
      <c r="AR314" s="51">
        <f>L294</f>
        <v>27669.13</v>
      </c>
      <c r="AT314" s="51">
        <f>L297</f>
        <v>9531.23</v>
      </c>
      <c r="AV314" t="s">
        <v>581</v>
      </c>
      <c r="AW314" s="51">
        <f>L302</f>
        <v>3198</v>
      </c>
      <c r="AZ314">
        <f>Source!X110</f>
        <v>38316.370000000003</v>
      </c>
      <c r="BA314">
        <f>Source!Y110</f>
        <v>22320.22</v>
      </c>
      <c r="CD314">
        <v>1</v>
      </c>
    </row>
    <row r="315" spans="1:83" ht="42.75" x14ac:dyDescent="0.2">
      <c r="A315" s="37" t="s">
        <v>145</v>
      </c>
      <c r="B315" s="39" t="s">
        <v>626</v>
      </c>
      <c r="C315" s="39" t="str">
        <f>Source!G111</f>
        <v>Установка железобетонных опор ВЛ 0,38; 6-10 кВ с траверсами без приставок: одностоечных с одним подкосом</v>
      </c>
      <c r="D315" s="40" t="str">
        <f>Source!H111</f>
        <v>ШТ</v>
      </c>
      <c r="E315" s="41">
        <f>Source!K111</f>
        <v>12</v>
      </c>
      <c r="F315" s="41"/>
      <c r="G315" s="41">
        <f>Source!I111</f>
        <v>12</v>
      </c>
      <c r="H315" s="43"/>
      <c r="I315" s="42"/>
      <c r="J315" s="43"/>
      <c r="K315" s="42"/>
      <c r="L315" s="43"/>
    </row>
    <row r="316" spans="1:83" ht="15" x14ac:dyDescent="0.2">
      <c r="A316" s="38"/>
      <c r="B316" s="41">
        <v>1</v>
      </c>
      <c r="C316" s="38" t="s">
        <v>571</v>
      </c>
      <c r="D316" s="40" t="s">
        <v>372</v>
      </c>
      <c r="E316" s="44"/>
      <c r="F316" s="41"/>
      <c r="G316" s="44">
        <f>Source!U111</f>
        <v>71.760000000000005</v>
      </c>
      <c r="H316" s="41"/>
      <c r="I316" s="41"/>
      <c r="J316" s="41"/>
      <c r="K316" s="41"/>
      <c r="L316" s="45">
        <f>SUM(L317:L317)-SUMIF(CE317:CE317, 1, L317:L317)</f>
        <v>32443.41</v>
      </c>
    </row>
    <row r="317" spans="1:83" ht="14.25" x14ac:dyDescent="0.2">
      <c r="A317" s="39"/>
      <c r="B317" s="39" t="s">
        <v>447</v>
      </c>
      <c r="C317" s="39" t="s">
        <v>448</v>
      </c>
      <c r="D317" s="40" t="s">
        <v>372</v>
      </c>
      <c r="E317" s="41">
        <v>5.98</v>
      </c>
      <c r="F317" s="41"/>
      <c r="G317" s="41">
        <f>SmtRes!CX90</f>
        <v>71.760000000000005</v>
      </c>
      <c r="H317" s="43"/>
      <c r="I317" s="42"/>
      <c r="J317" s="43">
        <f>SmtRes!CZ90</f>
        <v>452.11</v>
      </c>
      <c r="K317" s="42"/>
      <c r="L317" s="43">
        <f>SmtRes!DI90</f>
        <v>32443.41</v>
      </c>
    </row>
    <row r="318" spans="1:83" ht="15" x14ac:dyDescent="0.2">
      <c r="A318" s="38"/>
      <c r="B318" s="41">
        <v>2</v>
      </c>
      <c r="C318" s="38" t="s">
        <v>572</v>
      </c>
      <c r="D318" s="40"/>
      <c r="E318" s="44"/>
      <c r="F318" s="41"/>
      <c r="G318" s="44"/>
      <c r="H318" s="41"/>
      <c r="I318" s="41"/>
      <c r="J318" s="41"/>
      <c r="K318" s="41"/>
      <c r="L318" s="45">
        <f>SUM(L319:L323)-SUMIF(CE319:CE323, 1, L319:L323)</f>
        <v>51703.100000000006</v>
      </c>
    </row>
    <row r="319" spans="1:83" ht="15" x14ac:dyDescent="0.2">
      <c r="A319" s="38"/>
      <c r="B319" s="41"/>
      <c r="C319" s="38" t="s">
        <v>575</v>
      </c>
      <c r="D319" s="40" t="s">
        <v>372</v>
      </c>
      <c r="E319" s="44"/>
      <c r="F319" s="41"/>
      <c r="G319" s="44">
        <f>Source!V111</f>
        <v>24</v>
      </c>
      <c r="H319" s="41"/>
      <c r="I319" s="41"/>
      <c r="J319" s="41"/>
      <c r="K319" s="41"/>
      <c r="L319" s="45">
        <f>SUMIF(CE320:CE323, 1, L320:L323)</f>
        <v>13178.83</v>
      </c>
      <c r="CE319">
        <v>1</v>
      </c>
    </row>
    <row r="320" spans="1:83" ht="42.75" x14ac:dyDescent="0.2">
      <c r="A320" s="39"/>
      <c r="B320" s="39" t="s">
        <v>375</v>
      </c>
      <c r="C320" s="39" t="s">
        <v>377</v>
      </c>
      <c r="D320" s="40" t="s">
        <v>378</v>
      </c>
      <c r="E320" s="41">
        <v>1.6</v>
      </c>
      <c r="F320" s="41"/>
      <c r="G320" s="41">
        <f>SmtRes!CX92</f>
        <v>19.2</v>
      </c>
      <c r="H320" s="43">
        <f>SmtRes!CZ92</f>
        <v>2088.77</v>
      </c>
      <c r="I320" s="42">
        <f>SmtRes!AJ92</f>
        <v>1.22</v>
      </c>
      <c r="J320" s="43">
        <f>ROUND(H320*I320, 2)</f>
        <v>2548.3000000000002</v>
      </c>
      <c r="K320" s="42"/>
      <c r="L320" s="43">
        <f>SmtRes!DG92</f>
        <v>48927.360000000001</v>
      </c>
    </row>
    <row r="321" spans="1:83" ht="14.25" x14ac:dyDescent="0.2">
      <c r="A321" s="39"/>
      <c r="B321" s="39" t="s">
        <v>379</v>
      </c>
      <c r="C321" s="39" t="s">
        <v>573</v>
      </c>
      <c r="D321" s="40" t="s">
        <v>372</v>
      </c>
      <c r="E321" s="41">
        <f>SmtRes!DO92*SmtRes!AT92</f>
        <v>1.6</v>
      </c>
      <c r="F321" s="41"/>
      <c r="G321" s="41">
        <f>SmtRes!DO92*SmtRes!CX92</f>
        <v>19.2</v>
      </c>
      <c r="H321" s="43"/>
      <c r="I321" s="42"/>
      <c r="J321" s="43">
        <f>ROUND(SmtRes!AG92/SmtRes!DO92, 2)</f>
        <v>563.76</v>
      </c>
      <c r="K321" s="42"/>
      <c r="L321" s="43">
        <f>SmtRes!DH92</f>
        <v>10824.19</v>
      </c>
      <c r="CE321">
        <v>1</v>
      </c>
    </row>
    <row r="322" spans="1:83" ht="28.5" x14ac:dyDescent="0.2">
      <c r="A322" s="39"/>
      <c r="B322" s="39" t="s">
        <v>380</v>
      </c>
      <c r="C322" s="39" t="s">
        <v>382</v>
      </c>
      <c r="D322" s="40" t="s">
        <v>378</v>
      </c>
      <c r="E322" s="41">
        <v>0.4</v>
      </c>
      <c r="F322" s="41"/>
      <c r="G322" s="41">
        <f>SmtRes!CX93</f>
        <v>4.8</v>
      </c>
      <c r="H322" s="43">
        <f>SmtRes!CZ93</f>
        <v>477.92</v>
      </c>
      <c r="I322" s="42">
        <f>SmtRes!AJ93</f>
        <v>1.21</v>
      </c>
      <c r="J322" s="43">
        <f>ROUND(H322*I322, 2)</f>
        <v>578.28</v>
      </c>
      <c r="K322" s="42"/>
      <c r="L322" s="43">
        <f>SmtRes!DG93</f>
        <v>2775.74</v>
      </c>
    </row>
    <row r="323" spans="1:83" ht="14.25" x14ac:dyDescent="0.2">
      <c r="A323" s="39"/>
      <c r="B323" s="39" t="s">
        <v>383</v>
      </c>
      <c r="C323" s="39" t="s">
        <v>574</v>
      </c>
      <c r="D323" s="40" t="s">
        <v>372</v>
      </c>
      <c r="E323" s="41">
        <f>SmtRes!DO93*SmtRes!AT93</f>
        <v>0.4</v>
      </c>
      <c r="F323" s="41"/>
      <c r="G323" s="41">
        <f>SmtRes!DO93*SmtRes!CX93</f>
        <v>4.8</v>
      </c>
      <c r="H323" s="43"/>
      <c r="I323" s="42"/>
      <c r="J323" s="43">
        <f>ROUND(SmtRes!AG93/SmtRes!DO93, 2)</f>
        <v>490.55</v>
      </c>
      <c r="K323" s="42"/>
      <c r="L323" s="43">
        <f>SmtRes!DH93</f>
        <v>2354.64</v>
      </c>
      <c r="CE323">
        <v>1</v>
      </c>
    </row>
    <row r="324" spans="1:83" ht="15" x14ac:dyDescent="0.2">
      <c r="A324" s="38"/>
      <c r="B324" s="41">
        <v>4</v>
      </c>
      <c r="C324" s="38" t="s">
        <v>591</v>
      </c>
      <c r="D324" s="40"/>
      <c r="E324" s="44"/>
      <c r="F324" s="41"/>
      <c r="G324" s="44"/>
      <c r="H324" s="41"/>
      <c r="I324" s="41"/>
      <c r="J324" s="41"/>
      <c r="K324" s="41"/>
      <c r="L324" s="45">
        <f>SUM(L325:L331)-SUMIF(CE325:CE331, 1, L325:L331)</f>
        <v>1918.8</v>
      </c>
    </row>
    <row r="325" spans="1:83" ht="14.25" x14ac:dyDescent="0.2">
      <c r="A325" s="39"/>
      <c r="B325" s="39" t="s">
        <v>450</v>
      </c>
      <c r="C325" s="39" t="s">
        <v>452</v>
      </c>
      <c r="D325" s="40" t="s">
        <v>253</v>
      </c>
      <c r="E325" s="41">
        <v>0.1</v>
      </c>
      <c r="F325" s="41"/>
      <c r="G325" s="41">
        <f>SmtRes!CX94</f>
        <v>1.2</v>
      </c>
      <c r="H325" s="43">
        <f>SmtRes!CZ94</f>
        <v>238.29</v>
      </c>
      <c r="I325" s="42">
        <f>SmtRes!AI94</f>
        <v>1.77</v>
      </c>
      <c r="J325" s="43">
        <f t="shared" ref="J325:J331" si="2">ROUND(H325*I325, 2)</f>
        <v>421.77</v>
      </c>
      <c r="K325" s="42"/>
      <c r="L325" s="43">
        <f>SmtRes!DF94</f>
        <v>506.12</v>
      </c>
    </row>
    <row r="326" spans="1:83" ht="14.25" x14ac:dyDescent="0.2">
      <c r="A326" s="39"/>
      <c r="B326" s="39" t="s">
        <v>453</v>
      </c>
      <c r="C326" s="39" t="s">
        <v>455</v>
      </c>
      <c r="D326" s="40" t="s">
        <v>253</v>
      </c>
      <c r="E326" s="41">
        <v>0.03</v>
      </c>
      <c r="F326" s="41"/>
      <c r="G326" s="41">
        <f>SmtRes!CX95</f>
        <v>0.36</v>
      </c>
      <c r="H326" s="43">
        <f>SmtRes!CZ95</f>
        <v>58.53</v>
      </c>
      <c r="I326" s="42">
        <f>SmtRes!AI95</f>
        <v>1.77</v>
      </c>
      <c r="J326" s="43">
        <f t="shared" si="2"/>
        <v>103.6</v>
      </c>
      <c r="K326" s="42"/>
      <c r="L326" s="43">
        <f>SmtRes!DF95</f>
        <v>37.299999999999997</v>
      </c>
    </row>
    <row r="327" spans="1:83" ht="14.25" x14ac:dyDescent="0.2">
      <c r="A327" s="39"/>
      <c r="B327" s="39" t="s">
        <v>411</v>
      </c>
      <c r="C327" s="39" t="s">
        <v>413</v>
      </c>
      <c r="D327" s="40" t="s">
        <v>253</v>
      </c>
      <c r="E327" s="41">
        <v>0</v>
      </c>
      <c r="F327" s="41"/>
      <c r="G327" s="41">
        <f>SmtRes!CX96</f>
        <v>0</v>
      </c>
      <c r="H327" s="43">
        <f>SmtRes!CZ96</f>
        <v>174.93</v>
      </c>
      <c r="I327" s="42">
        <f>SmtRes!AI96</f>
        <v>1.1499999999999999</v>
      </c>
      <c r="J327" s="43">
        <f t="shared" si="2"/>
        <v>201.17</v>
      </c>
      <c r="K327" s="42"/>
      <c r="L327" s="43">
        <f>SmtRes!DF96</f>
        <v>0</v>
      </c>
    </row>
    <row r="328" spans="1:83" ht="14.25" x14ac:dyDescent="0.2">
      <c r="A328" s="39"/>
      <c r="B328" s="39" t="s">
        <v>456</v>
      </c>
      <c r="C328" s="39" t="s">
        <v>458</v>
      </c>
      <c r="D328" s="40" t="s">
        <v>253</v>
      </c>
      <c r="E328" s="41">
        <v>0.02</v>
      </c>
      <c r="F328" s="41"/>
      <c r="G328" s="41">
        <f>SmtRes!CX97</f>
        <v>0.24</v>
      </c>
      <c r="H328" s="43">
        <f>SmtRes!CZ97</f>
        <v>56.11</v>
      </c>
      <c r="I328" s="42">
        <f>SmtRes!AI97</f>
        <v>1.39</v>
      </c>
      <c r="J328" s="43">
        <f t="shared" si="2"/>
        <v>77.989999999999995</v>
      </c>
      <c r="K328" s="42"/>
      <c r="L328" s="43">
        <f>SmtRes!DF97</f>
        <v>18.72</v>
      </c>
    </row>
    <row r="329" spans="1:83" ht="14.25" x14ac:dyDescent="0.2">
      <c r="A329" s="39"/>
      <c r="B329" s="39" t="s">
        <v>467</v>
      </c>
      <c r="C329" s="39" t="s">
        <v>469</v>
      </c>
      <c r="D329" s="40" t="s">
        <v>244</v>
      </c>
      <c r="E329" s="41">
        <v>4.0000000000000002E-4</v>
      </c>
      <c r="F329" s="41"/>
      <c r="G329" s="41">
        <f>SmtRes!CX102</f>
        <v>4.7999999999999996E-3</v>
      </c>
      <c r="H329" s="43">
        <f>SmtRes!CZ102</f>
        <v>61265.39</v>
      </c>
      <c r="I329" s="42">
        <f>SmtRes!AI102</f>
        <v>1.31</v>
      </c>
      <c r="J329" s="43">
        <f t="shared" si="2"/>
        <v>80257.66</v>
      </c>
      <c r="K329" s="42"/>
      <c r="L329" s="43">
        <f>SmtRes!DF102</f>
        <v>385.24</v>
      </c>
    </row>
    <row r="330" spans="1:83" ht="14.25" x14ac:dyDescent="0.2">
      <c r="A330" s="39"/>
      <c r="B330" s="39" t="s">
        <v>470</v>
      </c>
      <c r="C330" s="39" t="s">
        <v>472</v>
      </c>
      <c r="D330" s="40" t="s">
        <v>244</v>
      </c>
      <c r="E330" s="41">
        <v>1E-4</v>
      </c>
      <c r="F330" s="41"/>
      <c r="G330" s="41">
        <f>SmtRes!CX103</f>
        <v>1.1999999999999999E-3</v>
      </c>
      <c r="H330" s="43">
        <f>SmtRes!CZ103</f>
        <v>80020.98</v>
      </c>
      <c r="I330" s="42">
        <f>SmtRes!AI103</f>
        <v>1.22</v>
      </c>
      <c r="J330" s="43">
        <f t="shared" si="2"/>
        <v>97625.600000000006</v>
      </c>
      <c r="K330" s="42"/>
      <c r="L330" s="43">
        <f>SmtRes!DF103</f>
        <v>117.15</v>
      </c>
    </row>
    <row r="331" spans="1:83" ht="14.25" x14ac:dyDescent="0.2">
      <c r="A331" s="39"/>
      <c r="B331" s="39" t="s">
        <v>473</v>
      </c>
      <c r="C331" s="46" t="s">
        <v>475</v>
      </c>
      <c r="D331" s="47" t="s">
        <v>162</v>
      </c>
      <c r="E331" s="48">
        <v>0.06</v>
      </c>
      <c r="F331" s="48"/>
      <c r="G331" s="48">
        <f>SmtRes!CX104</f>
        <v>0.72</v>
      </c>
      <c r="H331" s="49">
        <f>SmtRes!CZ104</f>
        <v>1031.73</v>
      </c>
      <c r="I331" s="50">
        <f>SmtRes!AI104</f>
        <v>1.1499999999999999</v>
      </c>
      <c r="J331" s="49">
        <f t="shared" si="2"/>
        <v>1186.49</v>
      </c>
      <c r="K331" s="50"/>
      <c r="L331" s="49">
        <f>SmtRes!DF104</f>
        <v>854.27</v>
      </c>
    </row>
    <row r="332" spans="1:83" ht="15" x14ac:dyDescent="0.2">
      <c r="A332" s="39"/>
      <c r="B332" s="39"/>
      <c r="C332" s="53" t="s">
        <v>576</v>
      </c>
      <c r="D332" s="40"/>
      <c r="E332" s="41"/>
      <c r="F332" s="41"/>
      <c r="G332" s="41"/>
      <c r="H332" s="43"/>
      <c r="I332" s="42"/>
      <c r="J332" s="43"/>
      <c r="K332" s="42"/>
      <c r="L332" s="43">
        <f>L316+L318+L319+L324</f>
        <v>99244.140000000014</v>
      </c>
    </row>
    <row r="333" spans="1:83" ht="14.25" x14ac:dyDescent="0.2">
      <c r="A333" s="39"/>
      <c r="B333" s="39"/>
      <c r="C333" s="39" t="s">
        <v>577</v>
      </c>
      <c r="D333" s="40"/>
      <c r="E333" s="41"/>
      <c r="F333" s="41"/>
      <c r="G333" s="41"/>
      <c r="H333" s="43"/>
      <c r="I333" s="42"/>
      <c r="J333" s="43"/>
      <c r="K333" s="42"/>
      <c r="L333" s="43">
        <f>SUM(AR315:AR336)+SUM(AS315:AS336)+SUM(AT315:AT336)+SUM(AU315:AU336)+SUM(AV315:AV336)</f>
        <v>45622.239999999998</v>
      </c>
    </row>
    <row r="334" spans="1:83" ht="14.25" x14ac:dyDescent="0.2">
      <c r="A334" s="39"/>
      <c r="B334" s="39" t="s">
        <v>82</v>
      </c>
      <c r="C334" s="39" t="s">
        <v>578</v>
      </c>
      <c r="D334" s="40" t="s">
        <v>408</v>
      </c>
      <c r="E334" s="41">
        <f>Source!BZ111</f>
        <v>103</v>
      </c>
      <c r="F334" s="41"/>
      <c r="G334" s="41">
        <f>Source!AT111</f>
        <v>103</v>
      </c>
      <c r="H334" s="43"/>
      <c r="I334" s="42"/>
      <c r="J334" s="43"/>
      <c r="K334" s="42"/>
      <c r="L334" s="43">
        <f>SUM(AZ315:AZ336)</f>
        <v>46990.91</v>
      </c>
    </row>
    <row r="335" spans="1:83" ht="14.25" x14ac:dyDescent="0.2">
      <c r="A335" s="46"/>
      <c r="B335" s="46" t="s">
        <v>83</v>
      </c>
      <c r="C335" s="46" t="s">
        <v>579</v>
      </c>
      <c r="D335" s="47" t="s">
        <v>408</v>
      </c>
      <c r="E335" s="48">
        <f>Source!CA111</f>
        <v>60</v>
      </c>
      <c r="F335" s="48"/>
      <c r="G335" s="48">
        <f>Source!AU111</f>
        <v>60</v>
      </c>
      <c r="H335" s="49"/>
      <c r="I335" s="50"/>
      <c r="J335" s="49"/>
      <c r="K335" s="50"/>
      <c r="L335" s="49">
        <f>SUM(BA315:BA336)</f>
        <v>27373.34</v>
      </c>
    </row>
    <row r="336" spans="1:83" ht="15" x14ac:dyDescent="0.2">
      <c r="C336" s="104" t="s">
        <v>580</v>
      </c>
      <c r="D336" s="104"/>
      <c r="E336" s="104"/>
      <c r="F336" s="104"/>
      <c r="G336" s="104"/>
      <c r="H336" s="104"/>
      <c r="I336" s="105">
        <f>K336/E315</f>
        <v>14467.365833333335</v>
      </c>
      <c r="J336" s="105"/>
      <c r="K336" s="105">
        <f>L316+L318+L324+L334+L335+L319</f>
        <v>173608.39</v>
      </c>
      <c r="L336" s="105"/>
      <c r="AD336">
        <f>ROUND((Source!AT111/100)*((ROUND(SUMIF(SmtRes!AQ90:'SmtRes'!AQ109,"=1",SmtRes!AD90:'SmtRes'!AD109)*Source!I111, 2)+ROUND(SUMIF(SmtRes!AQ90:'SmtRes'!AQ109,"=1",SmtRes!AC90:'SmtRes'!AC109)*Source!I111, 2))), 2)</f>
        <v>18619.349999999999</v>
      </c>
      <c r="AE336">
        <f>ROUND((Source!AU111/100)*((ROUND(SUMIF(SmtRes!AQ90:'SmtRes'!AQ109,"=1",SmtRes!AD90:'SmtRes'!AD109)*Source!I111, 2)+ROUND(SUMIF(SmtRes!AQ90:'SmtRes'!AQ109,"=1",SmtRes!AC90:'SmtRes'!AC109)*Source!I111, 2))), 2)</f>
        <v>10846.22</v>
      </c>
      <c r="AN336" s="51">
        <f>L316+L318+L324+L334+L335+L319</f>
        <v>173608.39</v>
      </c>
      <c r="AO336" s="51">
        <f>L318</f>
        <v>51703.100000000006</v>
      </c>
      <c r="AQ336" t="s">
        <v>581</v>
      </c>
      <c r="AR336" s="51">
        <f>L316</f>
        <v>32443.41</v>
      </c>
      <c r="AT336" s="51">
        <f>L319</f>
        <v>13178.83</v>
      </c>
      <c r="AV336" t="s">
        <v>581</v>
      </c>
      <c r="AW336" s="51">
        <f>L324</f>
        <v>1918.8</v>
      </c>
      <c r="AZ336">
        <f>Source!X111</f>
        <v>46990.91</v>
      </c>
      <c r="BA336">
        <f>Source!Y111</f>
        <v>27373.34</v>
      </c>
      <c r="CD336">
        <v>1</v>
      </c>
    </row>
    <row r="337" spans="1:83" ht="28.5" x14ac:dyDescent="0.2">
      <c r="A337" s="37" t="s">
        <v>149</v>
      </c>
      <c r="B337" s="39" t="s">
        <v>627</v>
      </c>
      <c r="C337" s="39" t="str">
        <f>Source!G112</f>
        <v>Хомут на опоре</v>
      </c>
      <c r="D337" s="40" t="str">
        <f>Source!H112</f>
        <v>ШТ</v>
      </c>
      <c r="E337" s="41">
        <f>Source!K112</f>
        <v>24</v>
      </c>
      <c r="F337" s="41"/>
      <c r="G337" s="41">
        <f>Source!I112</f>
        <v>24</v>
      </c>
      <c r="H337" s="43"/>
      <c r="I337" s="42"/>
      <c r="J337" s="43"/>
      <c r="K337" s="42"/>
      <c r="L337" s="43"/>
    </row>
    <row r="338" spans="1:83" ht="15" x14ac:dyDescent="0.2">
      <c r="A338" s="38"/>
      <c r="B338" s="41">
        <v>1</v>
      </c>
      <c r="C338" s="38" t="s">
        <v>571</v>
      </c>
      <c r="D338" s="40" t="s">
        <v>372</v>
      </c>
      <c r="E338" s="44"/>
      <c r="F338" s="41"/>
      <c r="G338" s="44">
        <f>Source!U112</f>
        <v>5.04</v>
      </c>
      <c r="H338" s="41"/>
      <c r="I338" s="41"/>
      <c r="J338" s="41"/>
      <c r="K338" s="41"/>
      <c r="L338" s="45">
        <f>SUM(L339:L339)-SUMIF(CE339:CE339, 1, L339:L339)</f>
        <v>2361.64</v>
      </c>
    </row>
    <row r="339" spans="1:83" ht="14.25" x14ac:dyDescent="0.2">
      <c r="A339" s="39"/>
      <c r="B339" s="39" t="s">
        <v>404</v>
      </c>
      <c r="C339" s="39" t="s">
        <v>485</v>
      </c>
      <c r="D339" s="40" t="s">
        <v>372</v>
      </c>
      <c r="E339" s="41">
        <v>0.21</v>
      </c>
      <c r="F339" s="41"/>
      <c r="G339" s="41">
        <f>SmtRes!CX110</f>
        <v>5.04</v>
      </c>
      <c r="H339" s="43"/>
      <c r="I339" s="42"/>
      <c r="J339" s="43">
        <f>SmtRes!CZ110</f>
        <v>468.58</v>
      </c>
      <c r="K339" s="42"/>
      <c r="L339" s="43">
        <f>SmtRes!DI110</f>
        <v>2361.64</v>
      </c>
    </row>
    <row r="340" spans="1:83" ht="15" x14ac:dyDescent="0.2">
      <c r="A340" s="38"/>
      <c r="B340" s="41">
        <v>2</v>
      </c>
      <c r="C340" s="38" t="s">
        <v>572</v>
      </c>
      <c r="D340" s="40"/>
      <c r="E340" s="44"/>
      <c r="F340" s="41"/>
      <c r="G340" s="44"/>
      <c r="H340" s="41"/>
      <c r="I340" s="41"/>
      <c r="J340" s="41"/>
      <c r="K340" s="41"/>
      <c r="L340" s="45">
        <f>SUM(L341:L343)-SUMIF(CE341:CE343, 1, L341:L343)</f>
        <v>10051.709999999999</v>
      </c>
    </row>
    <row r="341" spans="1:83" ht="15" x14ac:dyDescent="0.2">
      <c r="A341" s="38"/>
      <c r="B341" s="41"/>
      <c r="C341" s="38" t="s">
        <v>575</v>
      </c>
      <c r="D341" s="40" t="s">
        <v>372</v>
      </c>
      <c r="E341" s="44"/>
      <c r="F341" s="41"/>
      <c r="G341" s="44">
        <f>Source!V112</f>
        <v>6.48</v>
      </c>
      <c r="H341" s="41"/>
      <c r="I341" s="41"/>
      <c r="J341" s="41"/>
      <c r="K341" s="41"/>
      <c r="L341" s="45">
        <f>SUMIF(CE342:CE343, 1, L342:L343)</f>
        <v>4269.93</v>
      </c>
      <c r="CE341">
        <v>1</v>
      </c>
    </row>
    <row r="342" spans="1:83" ht="28.5" x14ac:dyDescent="0.2">
      <c r="A342" s="39"/>
      <c r="B342" s="39" t="s">
        <v>386</v>
      </c>
      <c r="C342" s="39" t="s">
        <v>388</v>
      </c>
      <c r="D342" s="40" t="s">
        <v>378</v>
      </c>
      <c r="E342" s="41">
        <v>0.27</v>
      </c>
      <c r="F342" s="41"/>
      <c r="G342" s="41">
        <f>SmtRes!CX112</f>
        <v>6.48</v>
      </c>
      <c r="H342" s="43"/>
      <c r="I342" s="42"/>
      <c r="J342" s="43">
        <f>SmtRes!CZ112</f>
        <v>1551.19</v>
      </c>
      <c r="K342" s="42"/>
      <c r="L342" s="43">
        <f>SmtRes!DG112</f>
        <v>10051.709999999999</v>
      </c>
    </row>
    <row r="343" spans="1:83" ht="14.25" x14ac:dyDescent="0.2">
      <c r="A343" s="39"/>
      <c r="B343" s="39" t="s">
        <v>389</v>
      </c>
      <c r="C343" s="39" t="s">
        <v>583</v>
      </c>
      <c r="D343" s="40" t="s">
        <v>372</v>
      </c>
      <c r="E343" s="41">
        <f>SmtRes!DO112*SmtRes!AT112</f>
        <v>0.27</v>
      </c>
      <c r="F343" s="41"/>
      <c r="G343" s="41">
        <f>SmtRes!DO112*SmtRes!CX112</f>
        <v>6.48</v>
      </c>
      <c r="H343" s="43"/>
      <c r="I343" s="42"/>
      <c r="J343" s="43">
        <f>ROUND(SmtRes!AG112/SmtRes!DO112, 2)</f>
        <v>658.94</v>
      </c>
      <c r="K343" s="42"/>
      <c r="L343" s="43">
        <f>SmtRes!DH112</f>
        <v>4269.93</v>
      </c>
      <c r="CE343">
        <v>1</v>
      </c>
    </row>
    <row r="344" spans="1:83" ht="15" x14ac:dyDescent="0.2">
      <c r="A344" s="38"/>
      <c r="B344" s="41">
        <v>4</v>
      </c>
      <c r="C344" s="57" t="s">
        <v>591</v>
      </c>
      <c r="D344" s="47"/>
      <c r="E344" s="58"/>
      <c r="F344" s="48"/>
      <c r="G344" s="58"/>
      <c r="H344" s="48"/>
      <c r="I344" s="48"/>
      <c r="J344" s="48"/>
      <c r="K344" s="48"/>
      <c r="L344" s="59">
        <f>0</f>
        <v>0</v>
      </c>
    </row>
    <row r="345" spans="1:83" ht="15" x14ac:dyDescent="0.2">
      <c r="A345" s="39"/>
      <c r="B345" s="39"/>
      <c r="C345" s="53" t="s">
        <v>576</v>
      </c>
      <c r="D345" s="40"/>
      <c r="E345" s="41"/>
      <c r="F345" s="41"/>
      <c r="G345" s="41"/>
      <c r="H345" s="43"/>
      <c r="I345" s="42"/>
      <c r="J345" s="43"/>
      <c r="K345" s="42"/>
      <c r="L345" s="43">
        <f>L338+L340+L341+L344</f>
        <v>16683.28</v>
      </c>
    </row>
    <row r="346" spans="1:83" ht="14.25" x14ac:dyDescent="0.2">
      <c r="A346" s="39"/>
      <c r="B346" s="39"/>
      <c r="C346" s="39" t="s">
        <v>577</v>
      </c>
      <c r="D346" s="40"/>
      <c r="E346" s="41"/>
      <c r="F346" s="41"/>
      <c r="G346" s="41"/>
      <c r="H346" s="43"/>
      <c r="I346" s="42"/>
      <c r="J346" s="43"/>
      <c r="K346" s="42"/>
      <c r="L346" s="43">
        <f>SUM(AR337:AR349)+SUM(AS337:AS349)+SUM(AT337:AT349)+SUM(AU337:AU349)+SUM(AV337:AV349)</f>
        <v>6631.57</v>
      </c>
    </row>
    <row r="347" spans="1:83" ht="28.5" x14ac:dyDescent="0.2">
      <c r="A347" s="39"/>
      <c r="B347" s="39" t="s">
        <v>117</v>
      </c>
      <c r="C347" s="39" t="s">
        <v>592</v>
      </c>
      <c r="D347" s="40" t="s">
        <v>408</v>
      </c>
      <c r="E347" s="41">
        <f>Source!BZ112</f>
        <v>97</v>
      </c>
      <c r="F347" s="41"/>
      <c r="G347" s="41">
        <f>Source!AT112</f>
        <v>97</v>
      </c>
      <c r="H347" s="43"/>
      <c r="I347" s="42"/>
      <c r="J347" s="43"/>
      <c r="K347" s="42"/>
      <c r="L347" s="43">
        <f>SUM(AZ337:AZ349)</f>
        <v>6432.62</v>
      </c>
    </row>
    <row r="348" spans="1:83" ht="28.5" x14ac:dyDescent="0.2">
      <c r="A348" s="46"/>
      <c r="B348" s="46" t="s">
        <v>118</v>
      </c>
      <c r="C348" s="46" t="s">
        <v>593</v>
      </c>
      <c r="D348" s="47" t="s">
        <v>408</v>
      </c>
      <c r="E348" s="48">
        <f>Source!CA112</f>
        <v>51</v>
      </c>
      <c r="F348" s="48"/>
      <c r="G348" s="48">
        <f>Source!AU112</f>
        <v>51</v>
      </c>
      <c r="H348" s="49"/>
      <c r="I348" s="50"/>
      <c r="J348" s="49"/>
      <c r="K348" s="50"/>
      <c r="L348" s="49">
        <f>SUM(BA337:BA349)</f>
        <v>3382.1</v>
      </c>
    </row>
    <row r="349" spans="1:83" ht="15" x14ac:dyDescent="0.2">
      <c r="C349" s="104" t="s">
        <v>580</v>
      </c>
      <c r="D349" s="104"/>
      <c r="E349" s="104"/>
      <c r="F349" s="104"/>
      <c r="G349" s="104"/>
      <c r="H349" s="104"/>
      <c r="I349" s="105">
        <f>K349/E337</f>
        <v>1104.0833333333333</v>
      </c>
      <c r="J349" s="105"/>
      <c r="K349" s="105">
        <f>L338+L340+L344+L347+L348+L341</f>
        <v>26497.999999999996</v>
      </c>
      <c r="L349" s="105"/>
      <c r="AD349">
        <f>ROUND((Source!AT112/100)*((ROUND(SUMIF(SmtRes!AQ110:'SmtRes'!AQ113,"=1",SmtRes!AD110:'SmtRes'!AD113)*Source!I112, 2)+ROUND(SUMIF(SmtRes!AQ110:'SmtRes'!AQ113,"=1",SmtRes!AC110:'SmtRes'!AC113)*Source!I112, 2))), 2)</f>
        <v>26248.67</v>
      </c>
      <c r="AE349">
        <f>ROUND((Source!AU112/100)*((ROUND(SUMIF(SmtRes!AQ110:'SmtRes'!AQ113,"=1",SmtRes!AD110:'SmtRes'!AD113)*Source!I112, 2)+ROUND(SUMIF(SmtRes!AQ110:'SmtRes'!AQ113,"=1",SmtRes!AC110:'SmtRes'!AC113)*Source!I112, 2))), 2)</f>
        <v>13800.84</v>
      </c>
      <c r="AN349" s="51">
        <f>L338+L340+L344+L347+L348+L341</f>
        <v>26497.999999999996</v>
      </c>
      <c r="AO349" s="51">
        <f>L340</f>
        <v>10051.709999999999</v>
      </c>
      <c r="AQ349" t="s">
        <v>581</v>
      </c>
      <c r="AR349" s="51">
        <f>L338</f>
        <v>2361.64</v>
      </c>
      <c r="AT349" s="51">
        <f>L341</f>
        <v>4269.93</v>
      </c>
      <c r="AV349" t="s">
        <v>581</v>
      </c>
      <c r="AW349" s="51">
        <f>L344</f>
        <v>0</v>
      </c>
      <c r="AZ349">
        <f>Source!X112</f>
        <v>6432.62</v>
      </c>
      <c r="BA349">
        <f>Source!Y112</f>
        <v>3382.1</v>
      </c>
      <c r="CD349">
        <v>2</v>
      </c>
    </row>
    <row r="350" spans="1:83" ht="42.75" x14ac:dyDescent="0.2">
      <c r="A350" s="37" t="s">
        <v>153</v>
      </c>
      <c r="B350" s="39" t="s">
        <v>628</v>
      </c>
      <c r="C350" s="39" t="str">
        <f>Source!G113</f>
        <v>Подвеска провода СИП-2 напряжением от 0,4 кВ до 1 кВ на опорах, при 32 опорах на км линии: с использованием автогидроподъемника</v>
      </c>
      <c r="D350" s="40" t="str">
        <f>Source!H113</f>
        <v>1000 м</v>
      </c>
      <c r="E350" s="41">
        <f>Source!K113</f>
        <v>0.95</v>
      </c>
      <c r="F350" s="41"/>
      <c r="G350" s="41">
        <f>Source!I113</f>
        <v>0.95</v>
      </c>
      <c r="H350" s="43"/>
      <c r="I350" s="42"/>
      <c r="J350" s="43"/>
      <c r="K350" s="42"/>
      <c r="L350" s="43"/>
    </row>
    <row r="351" spans="1:83" x14ac:dyDescent="0.2">
      <c r="C351" s="60" t="str">
        <f>"Объем: "&amp;Source!I113&amp;"=950/"&amp;"1000"</f>
        <v>Объем: 0,95=950/1000</v>
      </c>
    </row>
    <row r="352" spans="1:83" ht="15" x14ac:dyDescent="0.2">
      <c r="A352" s="38"/>
      <c r="B352" s="41">
        <v>1</v>
      </c>
      <c r="C352" s="38" t="s">
        <v>571</v>
      </c>
      <c r="D352" s="40" t="s">
        <v>372</v>
      </c>
      <c r="E352" s="44"/>
      <c r="F352" s="41"/>
      <c r="G352" s="44">
        <f>Source!U113</f>
        <v>90.36399999999999</v>
      </c>
      <c r="H352" s="41"/>
      <c r="I352" s="41"/>
      <c r="J352" s="41"/>
      <c r="K352" s="41"/>
      <c r="L352" s="45">
        <f>SUM(L353:L356)-SUMIF(CE353:CE356, 1, L353:L356)</f>
        <v>43403.98</v>
      </c>
    </row>
    <row r="353" spans="1:83" ht="14.25" x14ac:dyDescent="0.2">
      <c r="A353" s="39"/>
      <c r="B353" s="39" t="s">
        <v>486</v>
      </c>
      <c r="C353" s="39" t="s">
        <v>487</v>
      </c>
      <c r="D353" s="40" t="s">
        <v>488</v>
      </c>
      <c r="E353" s="41">
        <v>0.99</v>
      </c>
      <c r="F353" s="41"/>
      <c r="G353" s="41">
        <f>SmtRes!CX114</f>
        <v>0.9405</v>
      </c>
      <c r="H353" s="43"/>
      <c r="I353" s="42"/>
      <c r="J353" s="43">
        <f>SmtRes!CZ114</f>
        <v>399.03</v>
      </c>
      <c r="K353" s="42"/>
      <c r="L353" s="43">
        <f>SmtRes!DI114</f>
        <v>375.29</v>
      </c>
    </row>
    <row r="354" spans="1:83" ht="14.25" x14ac:dyDescent="0.2">
      <c r="A354" s="39"/>
      <c r="B354" s="39" t="s">
        <v>489</v>
      </c>
      <c r="C354" s="39" t="s">
        <v>490</v>
      </c>
      <c r="D354" s="40" t="s">
        <v>488</v>
      </c>
      <c r="E354" s="41">
        <v>47.29</v>
      </c>
      <c r="F354" s="41"/>
      <c r="G354" s="41">
        <f>SmtRes!CX115</f>
        <v>44.9255</v>
      </c>
      <c r="H354" s="43"/>
      <c r="I354" s="42"/>
      <c r="J354" s="43">
        <f>SmtRes!CZ115</f>
        <v>435.64</v>
      </c>
      <c r="K354" s="42"/>
      <c r="L354" s="43">
        <f>SmtRes!DI115</f>
        <v>19571.34</v>
      </c>
    </row>
    <row r="355" spans="1:83" ht="14.25" x14ac:dyDescent="0.2">
      <c r="A355" s="39"/>
      <c r="B355" s="39" t="s">
        <v>491</v>
      </c>
      <c r="C355" s="39" t="s">
        <v>492</v>
      </c>
      <c r="D355" s="40" t="s">
        <v>488</v>
      </c>
      <c r="E355" s="41">
        <v>23.42</v>
      </c>
      <c r="F355" s="41"/>
      <c r="G355" s="41">
        <f>SmtRes!CX116</f>
        <v>22.248999999999999</v>
      </c>
      <c r="H355" s="43"/>
      <c r="I355" s="42"/>
      <c r="J355" s="43">
        <f>SmtRes!CZ116</f>
        <v>490.55</v>
      </c>
      <c r="K355" s="42"/>
      <c r="L355" s="43">
        <f>SmtRes!DI116</f>
        <v>10914.25</v>
      </c>
    </row>
    <row r="356" spans="1:83" ht="14.25" x14ac:dyDescent="0.2">
      <c r="A356" s="39"/>
      <c r="B356" s="39" t="s">
        <v>493</v>
      </c>
      <c r="C356" s="39" t="s">
        <v>494</v>
      </c>
      <c r="D356" s="40" t="s">
        <v>488</v>
      </c>
      <c r="E356" s="41">
        <v>23.42</v>
      </c>
      <c r="F356" s="41"/>
      <c r="G356" s="41">
        <f>SmtRes!CX117</f>
        <v>22.248999999999999</v>
      </c>
      <c r="H356" s="43"/>
      <c r="I356" s="42"/>
      <c r="J356" s="43">
        <f>SmtRes!CZ117</f>
        <v>563.76</v>
      </c>
      <c r="K356" s="42"/>
      <c r="L356" s="43">
        <f>SmtRes!DI117</f>
        <v>12543.1</v>
      </c>
    </row>
    <row r="357" spans="1:83" ht="15" x14ac:dyDescent="0.2">
      <c r="A357" s="38"/>
      <c r="B357" s="41">
        <v>2</v>
      </c>
      <c r="C357" s="38" t="s">
        <v>572</v>
      </c>
      <c r="D357" s="40"/>
      <c r="E357" s="44"/>
      <c r="F357" s="41"/>
      <c r="G357" s="44"/>
      <c r="H357" s="41"/>
      <c r="I357" s="41"/>
      <c r="J357" s="41"/>
      <c r="K357" s="41"/>
      <c r="L357" s="45">
        <f>SUM(L358:L367)-SUMIF(CE358:CE367, 1, L358:L367)</f>
        <v>11763.689999999995</v>
      </c>
    </row>
    <row r="358" spans="1:83" ht="15" x14ac:dyDescent="0.2">
      <c r="A358" s="38"/>
      <c r="B358" s="41"/>
      <c r="C358" s="38" t="s">
        <v>575</v>
      </c>
      <c r="D358" s="40" t="s">
        <v>372</v>
      </c>
      <c r="E358" s="44"/>
      <c r="F358" s="41"/>
      <c r="G358" s="44">
        <f>Source!V113</f>
        <v>23.645500000000002</v>
      </c>
      <c r="H358" s="41"/>
      <c r="I358" s="41"/>
      <c r="J358" s="41"/>
      <c r="K358" s="41"/>
      <c r="L358" s="45">
        <f>SUMIF(CE359:CE367, 1, L359:L367)</f>
        <v>11719.27</v>
      </c>
      <c r="CE358">
        <v>1</v>
      </c>
    </row>
    <row r="359" spans="1:83" ht="28.5" x14ac:dyDescent="0.2">
      <c r="A359" s="39"/>
      <c r="B359" s="39" t="s">
        <v>386</v>
      </c>
      <c r="C359" s="39" t="s">
        <v>388</v>
      </c>
      <c r="D359" s="40" t="s">
        <v>378</v>
      </c>
      <c r="E359" s="41">
        <v>0.75</v>
      </c>
      <c r="F359" s="41"/>
      <c r="G359" s="41">
        <f>SmtRes!CX119</f>
        <v>0.71250000000000002</v>
      </c>
      <c r="H359" s="43"/>
      <c r="I359" s="42"/>
      <c r="J359" s="43">
        <f>SmtRes!CZ119</f>
        <v>1551.19</v>
      </c>
      <c r="K359" s="42"/>
      <c r="L359" s="43">
        <f>SmtRes!DG119</f>
        <v>1105.22</v>
      </c>
    </row>
    <row r="360" spans="1:83" ht="14.25" x14ac:dyDescent="0.2">
      <c r="A360" s="39"/>
      <c r="B360" s="39" t="s">
        <v>389</v>
      </c>
      <c r="C360" s="39" t="s">
        <v>583</v>
      </c>
      <c r="D360" s="40" t="s">
        <v>372</v>
      </c>
      <c r="E360" s="41">
        <f>SmtRes!DO119*SmtRes!AT119</f>
        <v>0.75</v>
      </c>
      <c r="F360" s="41"/>
      <c r="G360" s="41">
        <f>SmtRes!DO119*SmtRes!CX119</f>
        <v>0.71250000000000002</v>
      </c>
      <c r="H360" s="43"/>
      <c r="I360" s="42"/>
      <c r="J360" s="43">
        <f>ROUND(SmtRes!AG119/SmtRes!DO119, 2)</f>
        <v>658.94</v>
      </c>
      <c r="K360" s="42"/>
      <c r="L360" s="43">
        <f>SmtRes!DH119</f>
        <v>469.49</v>
      </c>
      <c r="CE360">
        <v>1</v>
      </c>
    </row>
    <row r="361" spans="1:83" ht="28.5" x14ac:dyDescent="0.2">
      <c r="A361" s="39"/>
      <c r="B361" s="39" t="s">
        <v>495</v>
      </c>
      <c r="C361" s="39" t="s">
        <v>497</v>
      </c>
      <c r="D361" s="40" t="s">
        <v>378</v>
      </c>
      <c r="E361" s="41">
        <v>0.81</v>
      </c>
      <c r="F361" s="41"/>
      <c r="G361" s="41">
        <f>SmtRes!CX120</f>
        <v>0.76949999999999996</v>
      </c>
      <c r="H361" s="43"/>
      <c r="I361" s="42"/>
      <c r="J361" s="43">
        <f>SmtRes!CZ120</f>
        <v>15.12</v>
      </c>
      <c r="K361" s="42"/>
      <c r="L361" s="43">
        <f>SmtRes!DG120</f>
        <v>11.63</v>
      </c>
    </row>
    <row r="362" spans="1:83" ht="14.25" x14ac:dyDescent="0.2">
      <c r="A362" s="39"/>
      <c r="B362" s="39" t="s">
        <v>398</v>
      </c>
      <c r="C362" s="39" t="s">
        <v>400</v>
      </c>
      <c r="D362" s="40" t="s">
        <v>378</v>
      </c>
      <c r="E362" s="41">
        <v>22.74</v>
      </c>
      <c r="F362" s="41"/>
      <c r="G362" s="41">
        <f>SmtRes!CX121</f>
        <v>21.603000000000002</v>
      </c>
      <c r="H362" s="43">
        <f>SmtRes!CZ121</f>
        <v>346.73</v>
      </c>
      <c r="I362" s="42">
        <f>SmtRes!AJ121</f>
        <v>1.36</v>
      </c>
      <c r="J362" s="43">
        <f>ROUND(H362*I362, 2)</f>
        <v>471.55</v>
      </c>
      <c r="K362" s="42"/>
      <c r="L362" s="43">
        <f>SmtRes!DG121</f>
        <v>10186.89</v>
      </c>
    </row>
    <row r="363" spans="1:83" ht="14.25" x14ac:dyDescent="0.2">
      <c r="A363" s="39"/>
      <c r="B363" s="39" t="s">
        <v>383</v>
      </c>
      <c r="C363" s="39" t="s">
        <v>574</v>
      </c>
      <c r="D363" s="40" t="s">
        <v>372</v>
      </c>
      <c r="E363" s="41">
        <f>SmtRes!DO121*SmtRes!AT121</f>
        <v>22.74</v>
      </c>
      <c r="F363" s="41"/>
      <c r="G363" s="41">
        <f>SmtRes!DO121*SmtRes!CX121</f>
        <v>21.603000000000002</v>
      </c>
      <c r="H363" s="43"/>
      <c r="I363" s="42"/>
      <c r="J363" s="43">
        <f>ROUND(SmtRes!AG121/SmtRes!DO121, 2)</f>
        <v>490.55</v>
      </c>
      <c r="K363" s="42"/>
      <c r="L363" s="43">
        <f>SmtRes!DH121</f>
        <v>10597.35</v>
      </c>
      <c r="CE363">
        <v>1</v>
      </c>
    </row>
    <row r="364" spans="1:83" ht="28.5" x14ac:dyDescent="0.2">
      <c r="A364" s="39"/>
      <c r="B364" s="39" t="s">
        <v>380</v>
      </c>
      <c r="C364" s="39" t="s">
        <v>382</v>
      </c>
      <c r="D364" s="40" t="s">
        <v>378</v>
      </c>
      <c r="E364" s="41">
        <v>0.59</v>
      </c>
      <c r="F364" s="41"/>
      <c r="G364" s="41">
        <f>SmtRes!CX122</f>
        <v>0.5605</v>
      </c>
      <c r="H364" s="43">
        <f>SmtRes!CZ122</f>
        <v>477.92</v>
      </c>
      <c r="I364" s="42">
        <f>SmtRes!AJ122</f>
        <v>1.21</v>
      </c>
      <c r="J364" s="43">
        <f>ROUND(H364*I364, 2)</f>
        <v>578.28</v>
      </c>
      <c r="K364" s="42"/>
      <c r="L364" s="43">
        <f>SmtRes!DG122</f>
        <v>324.13</v>
      </c>
    </row>
    <row r="365" spans="1:83" ht="14.25" x14ac:dyDescent="0.2">
      <c r="A365" s="39"/>
      <c r="B365" s="39" t="s">
        <v>383</v>
      </c>
      <c r="C365" s="39" t="s">
        <v>574</v>
      </c>
      <c r="D365" s="40" t="s">
        <v>372</v>
      </c>
      <c r="E365" s="41">
        <f>SmtRes!DO122*SmtRes!AT122</f>
        <v>0.59</v>
      </c>
      <c r="F365" s="41"/>
      <c r="G365" s="41">
        <f>SmtRes!DO122*SmtRes!CX122</f>
        <v>0.5605</v>
      </c>
      <c r="H365" s="43"/>
      <c r="I365" s="42"/>
      <c r="J365" s="43">
        <f>ROUND(SmtRes!AG122/SmtRes!DO122, 2)</f>
        <v>490.55</v>
      </c>
      <c r="K365" s="42"/>
      <c r="L365" s="43">
        <f>SmtRes!DH122</f>
        <v>274.95</v>
      </c>
      <c r="CE365">
        <v>1</v>
      </c>
    </row>
    <row r="366" spans="1:83" ht="28.5" x14ac:dyDescent="0.2">
      <c r="A366" s="39"/>
      <c r="B366" s="39" t="s">
        <v>498</v>
      </c>
      <c r="C366" s="39" t="s">
        <v>500</v>
      </c>
      <c r="D366" s="40" t="s">
        <v>378</v>
      </c>
      <c r="E366" s="41">
        <v>0.81</v>
      </c>
      <c r="F366" s="41"/>
      <c r="G366" s="41">
        <f>SmtRes!CX123</f>
        <v>0.76949999999999996</v>
      </c>
      <c r="H366" s="43"/>
      <c r="I366" s="42"/>
      <c r="J366" s="43">
        <f>SmtRes!CZ123</f>
        <v>176.5</v>
      </c>
      <c r="K366" s="42"/>
      <c r="L366" s="43">
        <f>SmtRes!DG123</f>
        <v>135.82</v>
      </c>
    </row>
    <row r="367" spans="1:83" ht="14.25" x14ac:dyDescent="0.2">
      <c r="A367" s="39"/>
      <c r="B367" s="39" t="s">
        <v>383</v>
      </c>
      <c r="C367" s="39" t="s">
        <v>574</v>
      </c>
      <c r="D367" s="40" t="s">
        <v>372</v>
      </c>
      <c r="E367" s="41">
        <f>SmtRes!DO123*SmtRes!AT123</f>
        <v>0.81</v>
      </c>
      <c r="F367" s="41"/>
      <c r="G367" s="41">
        <f>SmtRes!DO123*SmtRes!CX123</f>
        <v>0.76949999999999996</v>
      </c>
      <c r="H367" s="43"/>
      <c r="I367" s="42"/>
      <c r="J367" s="43">
        <f>ROUND(SmtRes!AG123/SmtRes!DO123, 2)</f>
        <v>490.55</v>
      </c>
      <c r="K367" s="42"/>
      <c r="L367" s="43">
        <f>SmtRes!DH123</f>
        <v>377.48</v>
      </c>
      <c r="CE367">
        <v>1</v>
      </c>
    </row>
    <row r="368" spans="1:83" ht="15" x14ac:dyDescent="0.2">
      <c r="A368" s="38"/>
      <c r="B368" s="41">
        <v>4</v>
      </c>
      <c r="C368" s="57" t="s">
        <v>591</v>
      </c>
      <c r="D368" s="47"/>
      <c r="E368" s="58"/>
      <c r="F368" s="48"/>
      <c r="G368" s="58"/>
      <c r="H368" s="48"/>
      <c r="I368" s="48"/>
      <c r="J368" s="48"/>
      <c r="K368" s="48"/>
      <c r="L368" s="59">
        <f>0</f>
        <v>0</v>
      </c>
    </row>
    <row r="369" spans="1:83" ht="15" x14ac:dyDescent="0.2">
      <c r="A369" s="39"/>
      <c r="B369" s="39"/>
      <c r="C369" s="53" t="s">
        <v>576</v>
      </c>
      <c r="D369" s="40"/>
      <c r="E369" s="41"/>
      <c r="F369" s="41"/>
      <c r="G369" s="41"/>
      <c r="H369" s="43"/>
      <c r="I369" s="42"/>
      <c r="J369" s="43"/>
      <c r="K369" s="42"/>
      <c r="L369" s="43">
        <f>L352+L357+L358+L368</f>
        <v>66886.94</v>
      </c>
    </row>
    <row r="370" spans="1:83" ht="14.25" x14ac:dyDescent="0.2">
      <c r="A370" s="39"/>
      <c r="B370" s="39"/>
      <c r="C370" s="39" t="s">
        <v>577</v>
      </c>
      <c r="D370" s="40"/>
      <c r="E370" s="41"/>
      <c r="F370" s="41"/>
      <c r="G370" s="41"/>
      <c r="H370" s="43"/>
      <c r="I370" s="42"/>
      <c r="J370" s="43"/>
      <c r="K370" s="42"/>
      <c r="L370" s="43">
        <f>SUM(AR350:AR373)+SUM(AS350:AS373)+SUM(AT350:AT373)+SUM(AU350:AU373)+SUM(AV350:AV373)</f>
        <v>55123.25</v>
      </c>
    </row>
    <row r="371" spans="1:83" ht="14.25" x14ac:dyDescent="0.2">
      <c r="A371" s="39"/>
      <c r="B371" s="39" t="s">
        <v>82</v>
      </c>
      <c r="C371" s="39" t="s">
        <v>578</v>
      </c>
      <c r="D371" s="40" t="s">
        <v>408</v>
      </c>
      <c r="E371" s="41">
        <f>Source!BZ113</f>
        <v>103</v>
      </c>
      <c r="F371" s="41"/>
      <c r="G371" s="41">
        <f>Source!AT113</f>
        <v>103</v>
      </c>
      <c r="H371" s="43"/>
      <c r="I371" s="42"/>
      <c r="J371" s="43"/>
      <c r="K371" s="42"/>
      <c r="L371" s="43">
        <f>SUM(AZ350:AZ373)</f>
        <v>56776.95</v>
      </c>
    </row>
    <row r="372" spans="1:83" ht="14.25" x14ac:dyDescent="0.2">
      <c r="A372" s="46"/>
      <c r="B372" s="46" t="s">
        <v>83</v>
      </c>
      <c r="C372" s="46" t="s">
        <v>579</v>
      </c>
      <c r="D372" s="47" t="s">
        <v>408</v>
      </c>
      <c r="E372" s="48">
        <f>Source!CA113</f>
        <v>60</v>
      </c>
      <c r="F372" s="48"/>
      <c r="G372" s="48">
        <f>Source!AU113</f>
        <v>60</v>
      </c>
      <c r="H372" s="49"/>
      <c r="I372" s="50"/>
      <c r="J372" s="49"/>
      <c r="K372" s="50"/>
      <c r="L372" s="49">
        <f>SUM(BA350:BA373)</f>
        <v>33073.949999999997</v>
      </c>
    </row>
    <row r="373" spans="1:83" ht="15" x14ac:dyDescent="0.2">
      <c r="C373" s="104" t="s">
        <v>580</v>
      </c>
      <c r="D373" s="104"/>
      <c r="E373" s="104"/>
      <c r="F373" s="104"/>
      <c r="G373" s="104"/>
      <c r="H373" s="104"/>
      <c r="I373" s="105">
        <f>K373/E350</f>
        <v>164987.20000000001</v>
      </c>
      <c r="J373" s="105"/>
      <c r="K373" s="105">
        <f>L352+L357+L368+L371+L372+L358</f>
        <v>156737.84</v>
      </c>
      <c r="L373" s="105"/>
      <c r="AD373">
        <f>ROUND((Source!AT113/100)*((ROUND(SUMIF(SmtRes!AQ114:'SmtRes'!AQ126,"=1",SmtRes!AD114:'SmtRes'!AD126)*Source!I113, 2)+ROUND(SUMIF(SmtRes!AQ114:'SmtRes'!AQ126,"=1",SmtRes!AC114:'SmtRes'!AC126)*Source!I113, 2))), 2)</f>
        <v>3933.15</v>
      </c>
      <c r="AE373">
        <f>ROUND((Source!AU113/100)*((ROUND(SUMIF(SmtRes!AQ114:'SmtRes'!AQ126,"=1",SmtRes!AD114:'SmtRes'!AD126)*Source!I113, 2)+ROUND(SUMIF(SmtRes!AQ114:'SmtRes'!AQ126,"=1",SmtRes!AC114:'SmtRes'!AC126)*Source!I113, 2))), 2)</f>
        <v>2291.15</v>
      </c>
      <c r="AN373" s="51">
        <f>L352+L357+L368+L371+L372+L358</f>
        <v>156737.84</v>
      </c>
      <c r="AO373" s="51">
        <f>L357</f>
        <v>11763.689999999995</v>
      </c>
      <c r="AQ373" t="s">
        <v>581</v>
      </c>
      <c r="AR373" s="51">
        <f>L352</f>
        <v>43403.98</v>
      </c>
      <c r="AT373" s="51">
        <f>L358</f>
        <v>11719.27</v>
      </c>
      <c r="AV373" t="s">
        <v>581</v>
      </c>
      <c r="AW373" s="51">
        <f>L368</f>
        <v>0</v>
      </c>
      <c r="AZ373">
        <f>Source!X113</f>
        <v>56776.95</v>
      </c>
      <c r="BA373">
        <f>Source!Y113</f>
        <v>33073.949999999997</v>
      </c>
      <c r="CD373">
        <v>1</v>
      </c>
    </row>
    <row r="374" spans="1:83" ht="28.5" x14ac:dyDescent="0.2">
      <c r="A374" s="37" t="s">
        <v>159</v>
      </c>
      <c r="B374" s="39" t="s">
        <v>629</v>
      </c>
      <c r="C374" s="39" t="str">
        <f>Source!G114</f>
        <v>Зажим наборный без кожуха</v>
      </c>
      <c r="D374" s="40" t="str">
        <f>Source!H114</f>
        <v>100 ШТ</v>
      </c>
      <c r="E374" s="41">
        <f>Source!K114</f>
        <v>2.44</v>
      </c>
      <c r="F374" s="41"/>
      <c r="G374" s="41">
        <f>Source!I114</f>
        <v>2.44</v>
      </c>
      <c r="H374" s="43"/>
      <c r="I374" s="42"/>
      <c r="J374" s="43"/>
      <c r="K374" s="42"/>
      <c r="L374" s="43"/>
    </row>
    <row r="375" spans="1:83" x14ac:dyDescent="0.2">
      <c r="C375" s="60" t="str">
        <f>"Объем: "&amp;Source!I114&amp;"=244/"&amp;"100"</f>
        <v>Объем: 2,44=244/100</v>
      </c>
    </row>
    <row r="376" spans="1:83" ht="15" x14ac:dyDescent="0.2">
      <c r="A376" s="38"/>
      <c r="B376" s="41">
        <v>1</v>
      </c>
      <c r="C376" s="38" t="s">
        <v>571</v>
      </c>
      <c r="D376" s="40" t="s">
        <v>372</v>
      </c>
      <c r="E376" s="44"/>
      <c r="F376" s="41"/>
      <c r="G376" s="44">
        <f>Source!U114</f>
        <v>100.52800000000001</v>
      </c>
      <c r="H376" s="41"/>
      <c r="I376" s="41"/>
      <c r="J376" s="41"/>
      <c r="K376" s="41"/>
      <c r="L376" s="45">
        <f>SUM(L377:L377)-SUMIF(CE377:CE377, 1, L377:L377)</f>
        <v>49314.01</v>
      </c>
    </row>
    <row r="377" spans="1:83" ht="14.25" x14ac:dyDescent="0.2">
      <c r="A377" s="39"/>
      <c r="B377" s="39" t="s">
        <v>409</v>
      </c>
      <c r="C377" s="39" t="s">
        <v>507</v>
      </c>
      <c r="D377" s="40" t="s">
        <v>372</v>
      </c>
      <c r="E377" s="41">
        <v>41.2</v>
      </c>
      <c r="F377" s="41"/>
      <c r="G377" s="41">
        <f>SmtRes!CX127</f>
        <v>100.52800000000001</v>
      </c>
      <c r="H377" s="43"/>
      <c r="I377" s="42"/>
      <c r="J377" s="43">
        <f>SmtRes!CZ127</f>
        <v>490.55</v>
      </c>
      <c r="K377" s="42"/>
      <c r="L377" s="43">
        <f>SmtRes!DI127</f>
        <v>49314.01</v>
      </c>
    </row>
    <row r="378" spans="1:83" ht="15" x14ac:dyDescent="0.2">
      <c r="A378" s="38"/>
      <c r="B378" s="41">
        <v>2</v>
      </c>
      <c r="C378" s="38" t="s">
        <v>572</v>
      </c>
      <c r="D378" s="40"/>
      <c r="E378" s="44"/>
      <c r="F378" s="41"/>
      <c r="G378" s="44"/>
      <c r="H378" s="41"/>
      <c r="I378" s="41"/>
      <c r="J378" s="41"/>
      <c r="K378" s="41"/>
      <c r="L378" s="45">
        <f>SUM(L379:L384)-SUMIF(CE379:CE384, 1, L379:L384)</f>
        <v>529.86999999999989</v>
      </c>
    </row>
    <row r="379" spans="1:83" ht="15" x14ac:dyDescent="0.2">
      <c r="A379" s="38"/>
      <c r="B379" s="41"/>
      <c r="C379" s="38" t="s">
        <v>575</v>
      </c>
      <c r="D379" s="40" t="s">
        <v>372</v>
      </c>
      <c r="E379" s="44"/>
      <c r="F379" s="41"/>
      <c r="G379" s="44">
        <f>Source!V114</f>
        <v>0.48799999999999999</v>
      </c>
      <c r="H379" s="41"/>
      <c r="I379" s="41"/>
      <c r="J379" s="41"/>
      <c r="K379" s="41"/>
      <c r="L379" s="45">
        <f>SUMIF(CE380:CE384, 1, L380:L384)</f>
        <v>280.47000000000003</v>
      </c>
      <c r="CE379">
        <v>1</v>
      </c>
    </row>
    <row r="380" spans="1:83" ht="28.5" x14ac:dyDescent="0.2">
      <c r="A380" s="39"/>
      <c r="B380" s="39" t="s">
        <v>386</v>
      </c>
      <c r="C380" s="39" t="s">
        <v>388</v>
      </c>
      <c r="D380" s="40" t="s">
        <v>378</v>
      </c>
      <c r="E380" s="41">
        <v>0.1</v>
      </c>
      <c r="F380" s="41"/>
      <c r="G380" s="41">
        <f>SmtRes!CX129</f>
        <v>0.24399999999999999</v>
      </c>
      <c r="H380" s="43"/>
      <c r="I380" s="42"/>
      <c r="J380" s="43">
        <f>SmtRes!CZ129</f>
        <v>1551.19</v>
      </c>
      <c r="K380" s="42"/>
      <c r="L380" s="43">
        <f>SmtRes!DG129</f>
        <v>378.49</v>
      </c>
    </row>
    <row r="381" spans="1:83" ht="14.25" x14ac:dyDescent="0.2">
      <c r="A381" s="39"/>
      <c r="B381" s="39" t="s">
        <v>389</v>
      </c>
      <c r="C381" s="39" t="s">
        <v>583</v>
      </c>
      <c r="D381" s="40" t="s">
        <v>372</v>
      </c>
      <c r="E381" s="41">
        <f>SmtRes!DO129*SmtRes!AT129</f>
        <v>0.1</v>
      </c>
      <c r="F381" s="41"/>
      <c r="G381" s="41">
        <f>SmtRes!DO129*SmtRes!CX129</f>
        <v>0.24399999999999999</v>
      </c>
      <c r="H381" s="43"/>
      <c r="I381" s="42"/>
      <c r="J381" s="43">
        <f>ROUND(SmtRes!AG129/SmtRes!DO129, 2)</f>
        <v>658.94</v>
      </c>
      <c r="K381" s="42"/>
      <c r="L381" s="43">
        <f>SmtRes!DH129</f>
        <v>160.78</v>
      </c>
      <c r="CE381">
        <v>1</v>
      </c>
    </row>
    <row r="382" spans="1:83" ht="28.5" x14ac:dyDescent="0.2">
      <c r="A382" s="39"/>
      <c r="B382" s="39" t="s">
        <v>380</v>
      </c>
      <c r="C382" s="39" t="s">
        <v>382</v>
      </c>
      <c r="D382" s="40" t="s">
        <v>378</v>
      </c>
      <c r="E382" s="41">
        <v>0.1</v>
      </c>
      <c r="F382" s="41"/>
      <c r="G382" s="41">
        <f>SmtRes!CX130</f>
        <v>0.24399999999999999</v>
      </c>
      <c r="H382" s="43">
        <f>SmtRes!CZ130</f>
        <v>477.92</v>
      </c>
      <c r="I382" s="42">
        <f>SmtRes!AJ130</f>
        <v>1.21</v>
      </c>
      <c r="J382" s="43">
        <f>ROUND(H382*I382, 2)</f>
        <v>578.28</v>
      </c>
      <c r="K382" s="42"/>
      <c r="L382" s="43">
        <f>SmtRes!DG130</f>
        <v>141.1</v>
      </c>
    </row>
    <row r="383" spans="1:83" ht="14.25" x14ac:dyDescent="0.2">
      <c r="A383" s="39"/>
      <c r="B383" s="39" t="s">
        <v>383</v>
      </c>
      <c r="C383" s="39" t="s">
        <v>574</v>
      </c>
      <c r="D383" s="40" t="s">
        <v>372</v>
      </c>
      <c r="E383" s="41">
        <f>SmtRes!DO130*SmtRes!AT130</f>
        <v>0.1</v>
      </c>
      <c r="F383" s="41"/>
      <c r="G383" s="41">
        <f>SmtRes!DO130*SmtRes!CX130</f>
        <v>0.24399999999999999</v>
      </c>
      <c r="H383" s="43"/>
      <c r="I383" s="42"/>
      <c r="J383" s="43">
        <f>ROUND(SmtRes!AG130/SmtRes!DO130, 2)</f>
        <v>490.55</v>
      </c>
      <c r="K383" s="42"/>
      <c r="L383" s="43">
        <f>SmtRes!DH130</f>
        <v>119.69</v>
      </c>
      <c r="CE383">
        <v>1</v>
      </c>
    </row>
    <row r="384" spans="1:83" ht="28.5" x14ac:dyDescent="0.2">
      <c r="A384" s="39"/>
      <c r="B384" s="39" t="s">
        <v>435</v>
      </c>
      <c r="C384" s="39" t="s">
        <v>437</v>
      </c>
      <c r="D384" s="40" t="s">
        <v>378</v>
      </c>
      <c r="E384" s="41">
        <v>0.16</v>
      </c>
      <c r="F384" s="41"/>
      <c r="G384" s="41">
        <f>SmtRes!CX131</f>
        <v>0.39040000000000002</v>
      </c>
      <c r="H384" s="43"/>
      <c r="I384" s="42"/>
      <c r="J384" s="43">
        <f>SmtRes!CZ131</f>
        <v>26.32</v>
      </c>
      <c r="K384" s="42"/>
      <c r="L384" s="43">
        <f>SmtRes!DG131</f>
        <v>10.28</v>
      </c>
    </row>
    <row r="385" spans="1:83" ht="15" x14ac:dyDescent="0.2">
      <c r="A385" s="38"/>
      <c r="B385" s="41">
        <v>4</v>
      </c>
      <c r="C385" s="38" t="s">
        <v>591</v>
      </c>
      <c r="D385" s="40"/>
      <c r="E385" s="44"/>
      <c r="F385" s="41"/>
      <c r="G385" s="44"/>
      <c r="H385" s="41"/>
      <c r="I385" s="41"/>
      <c r="J385" s="41"/>
      <c r="K385" s="41"/>
      <c r="L385" s="45">
        <f>SUM(L386:L388)-SUMIF(CE386:CE388, 1, L386:L388)</f>
        <v>3044.6</v>
      </c>
    </row>
    <row r="386" spans="1:83" ht="28.5" x14ac:dyDescent="0.2">
      <c r="A386" s="39"/>
      <c r="B386" s="39" t="s">
        <v>508</v>
      </c>
      <c r="C386" s="39" t="s">
        <v>510</v>
      </c>
      <c r="D386" s="40" t="s">
        <v>244</v>
      </c>
      <c r="E386" s="41">
        <v>3.0000000000000001E-3</v>
      </c>
      <c r="F386" s="41"/>
      <c r="G386" s="41">
        <f>SmtRes!CX132</f>
        <v>7.3200000000000001E-3</v>
      </c>
      <c r="H386" s="43">
        <f>SmtRes!CZ132</f>
        <v>70310.45</v>
      </c>
      <c r="I386" s="42">
        <f>SmtRes!AI132</f>
        <v>0.88</v>
      </c>
      <c r="J386" s="43">
        <f>ROUND(H386*I386, 2)</f>
        <v>61873.2</v>
      </c>
      <c r="K386" s="42"/>
      <c r="L386" s="43">
        <f>SmtRes!DF132</f>
        <v>452.91</v>
      </c>
    </row>
    <row r="387" spans="1:83" ht="28.5" x14ac:dyDescent="0.2">
      <c r="A387" s="39"/>
      <c r="B387" s="39" t="s">
        <v>423</v>
      </c>
      <c r="C387" s="39" t="s">
        <v>425</v>
      </c>
      <c r="D387" s="40" t="s">
        <v>253</v>
      </c>
      <c r="E387" s="41">
        <v>0.8</v>
      </c>
      <c r="F387" s="41"/>
      <c r="G387" s="41">
        <f>SmtRes!CX133</f>
        <v>1.952</v>
      </c>
      <c r="H387" s="43">
        <f>SmtRes!CZ133</f>
        <v>79.88</v>
      </c>
      <c r="I387" s="42">
        <f>SmtRes!AI133</f>
        <v>1.31</v>
      </c>
      <c r="J387" s="43">
        <f>ROUND(H387*I387, 2)</f>
        <v>104.64</v>
      </c>
      <c r="K387" s="42"/>
      <c r="L387" s="43">
        <f>SmtRes!DF133</f>
        <v>204.26</v>
      </c>
    </row>
    <row r="388" spans="1:83" ht="14.25" x14ac:dyDescent="0.2">
      <c r="A388" s="39"/>
      <c r="B388" s="39" t="s">
        <v>511</v>
      </c>
      <c r="C388" s="46" t="s">
        <v>513</v>
      </c>
      <c r="D388" s="47" t="s">
        <v>162</v>
      </c>
      <c r="E388" s="48">
        <v>1.02</v>
      </c>
      <c r="F388" s="48"/>
      <c r="G388" s="48">
        <f>SmtRes!CX134</f>
        <v>2.4887999999999999</v>
      </c>
      <c r="H388" s="49">
        <f>SmtRes!CZ134</f>
        <v>896.51</v>
      </c>
      <c r="I388" s="50">
        <f>SmtRes!AI134</f>
        <v>1.07</v>
      </c>
      <c r="J388" s="49">
        <f>ROUND(H388*I388, 2)</f>
        <v>959.27</v>
      </c>
      <c r="K388" s="50"/>
      <c r="L388" s="49">
        <f>SmtRes!DF134</f>
        <v>2387.4299999999998</v>
      </c>
    </row>
    <row r="389" spans="1:83" ht="15" x14ac:dyDescent="0.2">
      <c r="A389" s="39"/>
      <c r="B389" s="39"/>
      <c r="C389" s="53" t="s">
        <v>576</v>
      </c>
      <c r="D389" s="40"/>
      <c r="E389" s="41"/>
      <c r="F389" s="41"/>
      <c r="G389" s="41"/>
      <c r="H389" s="43"/>
      <c r="I389" s="42"/>
      <c r="J389" s="43"/>
      <c r="K389" s="42"/>
      <c r="L389" s="43">
        <f>L376+L378+L379+L385</f>
        <v>53168.950000000004</v>
      </c>
    </row>
    <row r="390" spans="1:83" ht="14.25" x14ac:dyDescent="0.2">
      <c r="A390" s="39"/>
      <c r="B390" s="39"/>
      <c r="C390" s="39" t="s">
        <v>577</v>
      </c>
      <c r="D390" s="40"/>
      <c r="E390" s="41"/>
      <c r="F390" s="41"/>
      <c r="G390" s="41"/>
      <c r="H390" s="43"/>
      <c r="I390" s="42"/>
      <c r="J390" s="43"/>
      <c r="K390" s="42"/>
      <c r="L390" s="43">
        <f>SUM(AR374:AR393)+SUM(AS374:AS393)+SUM(AT374:AT393)+SUM(AU374:AU393)+SUM(AV374:AV393)</f>
        <v>49594.48</v>
      </c>
    </row>
    <row r="391" spans="1:83" ht="28.5" x14ac:dyDescent="0.2">
      <c r="A391" s="39"/>
      <c r="B391" s="39" t="s">
        <v>117</v>
      </c>
      <c r="C391" s="39" t="s">
        <v>592</v>
      </c>
      <c r="D391" s="40" t="s">
        <v>408</v>
      </c>
      <c r="E391" s="41">
        <f>Source!BZ114</f>
        <v>97</v>
      </c>
      <c r="F391" s="41"/>
      <c r="G391" s="41">
        <f>Source!AT114</f>
        <v>97</v>
      </c>
      <c r="H391" s="43"/>
      <c r="I391" s="42"/>
      <c r="J391" s="43"/>
      <c r="K391" s="42"/>
      <c r="L391" s="43">
        <f>SUM(AZ374:AZ393)</f>
        <v>48106.65</v>
      </c>
    </row>
    <row r="392" spans="1:83" ht="28.5" x14ac:dyDescent="0.2">
      <c r="A392" s="46"/>
      <c r="B392" s="46" t="s">
        <v>118</v>
      </c>
      <c r="C392" s="46" t="s">
        <v>593</v>
      </c>
      <c r="D392" s="47" t="s">
        <v>408</v>
      </c>
      <c r="E392" s="48">
        <f>Source!CA114</f>
        <v>51</v>
      </c>
      <c r="F392" s="48"/>
      <c r="G392" s="48">
        <f>Source!AU114</f>
        <v>51</v>
      </c>
      <c r="H392" s="49"/>
      <c r="I392" s="50"/>
      <c r="J392" s="49"/>
      <c r="K392" s="50"/>
      <c r="L392" s="49">
        <f>SUM(BA374:BA393)</f>
        <v>25293.18</v>
      </c>
    </row>
    <row r="393" spans="1:83" ht="15" x14ac:dyDescent="0.2">
      <c r="C393" s="104" t="s">
        <v>580</v>
      </c>
      <c r="D393" s="104"/>
      <c r="E393" s="104"/>
      <c r="F393" s="104"/>
      <c r="G393" s="104"/>
      <c r="H393" s="104"/>
      <c r="I393" s="105">
        <f>K393/E374</f>
        <v>51872.450819672129</v>
      </c>
      <c r="J393" s="105"/>
      <c r="K393" s="105">
        <f>L376+L378+L385+L391+L392+L379</f>
        <v>126568.78</v>
      </c>
      <c r="L393" s="105"/>
      <c r="AD393">
        <f>ROUND((Source!AT114/100)*((ROUND(SUMIF(SmtRes!AQ127:'SmtRes'!AQ135,"=1",SmtRes!AD127:'SmtRes'!AD135)*Source!I114, 2)+ROUND(SUMIF(SmtRes!AQ127:'SmtRes'!AQ135,"=1",SmtRes!AC127:'SmtRes'!AC135)*Source!I114, 2))), 2)</f>
        <v>3881.65</v>
      </c>
      <c r="AE393">
        <f>ROUND((Source!AU114/100)*((ROUND(SUMIF(SmtRes!AQ127:'SmtRes'!AQ135,"=1",SmtRes!AD127:'SmtRes'!AD135)*Source!I114, 2)+ROUND(SUMIF(SmtRes!AQ127:'SmtRes'!AQ135,"=1",SmtRes!AC127:'SmtRes'!AC135)*Source!I114, 2))), 2)</f>
        <v>2040.87</v>
      </c>
      <c r="AN393" s="51">
        <f>L376+L378+L385+L391+L392+L379</f>
        <v>126568.78</v>
      </c>
      <c r="AO393" s="51">
        <f>L378</f>
        <v>529.86999999999989</v>
      </c>
      <c r="AQ393" t="s">
        <v>581</v>
      </c>
      <c r="AR393" s="51">
        <f>L376</f>
        <v>49314.01</v>
      </c>
      <c r="AT393" s="51">
        <f>L379</f>
        <v>280.47000000000003</v>
      </c>
      <c r="AV393" t="s">
        <v>581</v>
      </c>
      <c r="AW393" s="51">
        <f>L385</f>
        <v>3044.6</v>
      </c>
      <c r="AZ393">
        <f>Source!X114</f>
        <v>48106.65</v>
      </c>
      <c r="BA393">
        <f>Source!Y114</f>
        <v>25293.18</v>
      </c>
      <c r="CD393">
        <v>2</v>
      </c>
    </row>
    <row r="394" spans="1:83" ht="42.75" x14ac:dyDescent="0.2">
      <c r="A394" s="37" t="s">
        <v>164</v>
      </c>
      <c r="B394" s="39" t="s">
        <v>630</v>
      </c>
      <c r="C394" s="39" t="str">
        <f>Source!G115</f>
        <v>Устройство ответвлений от ВЛ 0,38 кВ к зданиям: с помощью механизмов при количестве проводов в ответвлении 4</v>
      </c>
      <c r="D394" s="40" t="str">
        <f>Source!H115</f>
        <v>ответвление</v>
      </c>
      <c r="E394" s="41">
        <f>Source!K115</f>
        <v>12</v>
      </c>
      <c r="F394" s="41"/>
      <c r="G394" s="41">
        <f>Source!I115</f>
        <v>12</v>
      </c>
      <c r="H394" s="43"/>
      <c r="I394" s="42"/>
      <c r="J394" s="43"/>
      <c r="K394" s="42"/>
      <c r="L394" s="43"/>
    </row>
    <row r="395" spans="1:83" ht="15" x14ac:dyDescent="0.2">
      <c r="A395" s="38"/>
      <c r="B395" s="41">
        <v>1</v>
      </c>
      <c r="C395" s="38" t="s">
        <v>571</v>
      </c>
      <c r="D395" s="40" t="s">
        <v>372</v>
      </c>
      <c r="E395" s="44"/>
      <c r="F395" s="41"/>
      <c r="G395" s="44">
        <f>Source!U115</f>
        <v>31.56</v>
      </c>
      <c r="H395" s="41"/>
      <c r="I395" s="41"/>
      <c r="J395" s="41"/>
      <c r="K395" s="41"/>
      <c r="L395" s="45">
        <f>SUM(L396:L396)-SUMIF(CE396:CE396, 1, L396:L396)</f>
        <v>14615.12</v>
      </c>
    </row>
    <row r="396" spans="1:83" ht="14.25" x14ac:dyDescent="0.2">
      <c r="A396" s="39"/>
      <c r="B396" s="39" t="s">
        <v>370</v>
      </c>
      <c r="C396" s="39" t="s">
        <v>514</v>
      </c>
      <c r="D396" s="40" t="s">
        <v>372</v>
      </c>
      <c r="E396" s="41">
        <v>2.63</v>
      </c>
      <c r="F396" s="41"/>
      <c r="G396" s="41">
        <f>SmtRes!CX136</f>
        <v>31.56</v>
      </c>
      <c r="H396" s="43"/>
      <c r="I396" s="42"/>
      <c r="J396" s="43">
        <f>SmtRes!CZ136</f>
        <v>463.09</v>
      </c>
      <c r="K396" s="42"/>
      <c r="L396" s="43">
        <f>SmtRes!DI136</f>
        <v>14615.12</v>
      </c>
    </row>
    <row r="397" spans="1:83" ht="15" x14ac:dyDescent="0.2">
      <c r="A397" s="38"/>
      <c r="B397" s="41">
        <v>2</v>
      </c>
      <c r="C397" s="38" t="s">
        <v>572</v>
      </c>
      <c r="D397" s="40"/>
      <c r="E397" s="44"/>
      <c r="F397" s="41"/>
      <c r="G397" s="44"/>
      <c r="H397" s="41"/>
      <c r="I397" s="41"/>
      <c r="J397" s="41"/>
      <c r="K397" s="41"/>
      <c r="L397" s="45">
        <f>SUM(L398:L402)-SUMIF(CE398:CE402, 1, L398:L402)</f>
        <v>1719.9299999999994</v>
      </c>
    </row>
    <row r="398" spans="1:83" ht="15" x14ac:dyDescent="0.2">
      <c r="A398" s="38"/>
      <c r="B398" s="41"/>
      <c r="C398" s="38" t="s">
        <v>575</v>
      </c>
      <c r="D398" s="40" t="s">
        <v>372</v>
      </c>
      <c r="E398" s="44"/>
      <c r="F398" s="41"/>
      <c r="G398" s="44">
        <f>Source!V115</f>
        <v>3.24</v>
      </c>
      <c r="H398" s="41"/>
      <c r="I398" s="41"/>
      <c r="J398" s="41"/>
      <c r="K398" s="41"/>
      <c r="L398" s="45">
        <f>SUMIF(CE399:CE402, 1, L399:L402)</f>
        <v>1589.38</v>
      </c>
      <c r="CE398">
        <v>1</v>
      </c>
    </row>
    <row r="399" spans="1:83" ht="14.25" x14ac:dyDescent="0.2">
      <c r="A399" s="39"/>
      <c r="B399" s="39" t="s">
        <v>398</v>
      </c>
      <c r="C399" s="39" t="s">
        <v>400</v>
      </c>
      <c r="D399" s="40" t="s">
        <v>378</v>
      </c>
      <c r="E399" s="41">
        <v>0.12</v>
      </c>
      <c r="F399" s="41"/>
      <c r="G399" s="41">
        <f>SmtRes!CX138</f>
        <v>1.44</v>
      </c>
      <c r="H399" s="43">
        <f>SmtRes!CZ138</f>
        <v>346.73</v>
      </c>
      <c r="I399" s="42">
        <f>SmtRes!AJ138</f>
        <v>1.36</v>
      </c>
      <c r="J399" s="43">
        <f>ROUND(H399*I399, 2)</f>
        <v>471.55</v>
      </c>
      <c r="K399" s="42"/>
      <c r="L399" s="43">
        <f>SmtRes!DG138</f>
        <v>679.03</v>
      </c>
    </row>
    <row r="400" spans="1:83" ht="14.25" x14ac:dyDescent="0.2">
      <c r="A400" s="39"/>
      <c r="B400" s="39" t="s">
        <v>383</v>
      </c>
      <c r="C400" s="39" t="s">
        <v>574</v>
      </c>
      <c r="D400" s="40" t="s">
        <v>372</v>
      </c>
      <c r="E400" s="41">
        <f>SmtRes!DO138*SmtRes!AT138</f>
        <v>0.12</v>
      </c>
      <c r="F400" s="41"/>
      <c r="G400" s="41">
        <f>SmtRes!DO138*SmtRes!CX138</f>
        <v>1.44</v>
      </c>
      <c r="H400" s="43"/>
      <c r="I400" s="42"/>
      <c r="J400" s="43">
        <f>ROUND(SmtRes!AG138/SmtRes!DO138, 2)</f>
        <v>490.55</v>
      </c>
      <c r="K400" s="42"/>
      <c r="L400" s="43">
        <f>SmtRes!DH138</f>
        <v>706.39</v>
      </c>
      <c r="CE400">
        <v>1</v>
      </c>
    </row>
    <row r="401" spans="1:83" ht="28.5" x14ac:dyDescent="0.2">
      <c r="A401" s="39"/>
      <c r="B401" s="39" t="s">
        <v>380</v>
      </c>
      <c r="C401" s="39" t="s">
        <v>382</v>
      </c>
      <c r="D401" s="40" t="s">
        <v>378</v>
      </c>
      <c r="E401" s="41">
        <v>0.15</v>
      </c>
      <c r="F401" s="41"/>
      <c r="G401" s="41">
        <f>SmtRes!CX139</f>
        <v>1.8</v>
      </c>
      <c r="H401" s="43">
        <f>SmtRes!CZ139</f>
        <v>477.92</v>
      </c>
      <c r="I401" s="42">
        <f>SmtRes!AJ139</f>
        <v>1.21</v>
      </c>
      <c r="J401" s="43">
        <f>ROUND(H401*I401, 2)</f>
        <v>578.28</v>
      </c>
      <c r="K401" s="42"/>
      <c r="L401" s="43">
        <f>SmtRes!DG139</f>
        <v>1040.9000000000001</v>
      </c>
    </row>
    <row r="402" spans="1:83" ht="14.25" x14ac:dyDescent="0.2">
      <c r="A402" s="39"/>
      <c r="B402" s="39" t="s">
        <v>383</v>
      </c>
      <c r="C402" s="39" t="s">
        <v>574</v>
      </c>
      <c r="D402" s="40" t="s">
        <v>372</v>
      </c>
      <c r="E402" s="41">
        <f>SmtRes!DO139*SmtRes!AT139</f>
        <v>0.15</v>
      </c>
      <c r="F402" s="41"/>
      <c r="G402" s="41">
        <f>SmtRes!DO139*SmtRes!CX139</f>
        <v>1.8</v>
      </c>
      <c r="H402" s="43"/>
      <c r="I402" s="42"/>
      <c r="J402" s="43">
        <f>ROUND(SmtRes!AG139/SmtRes!DO139, 2)</f>
        <v>490.55</v>
      </c>
      <c r="K402" s="42"/>
      <c r="L402" s="43">
        <f>SmtRes!DH139</f>
        <v>882.99</v>
      </c>
      <c r="CE402">
        <v>1</v>
      </c>
    </row>
    <row r="403" spans="1:83" ht="15" x14ac:dyDescent="0.2">
      <c r="A403" s="38"/>
      <c r="B403" s="41">
        <v>4</v>
      </c>
      <c r="C403" s="38" t="s">
        <v>591</v>
      </c>
      <c r="D403" s="40"/>
      <c r="E403" s="44"/>
      <c r="F403" s="41"/>
      <c r="G403" s="44"/>
      <c r="H403" s="41"/>
      <c r="I403" s="41"/>
      <c r="J403" s="41"/>
      <c r="K403" s="41"/>
      <c r="L403" s="45">
        <f>SUM(L404:L405)-SUMIF(CE404:CE405, 1, L404:L405)</f>
        <v>2530.62</v>
      </c>
    </row>
    <row r="404" spans="1:83" ht="14.25" x14ac:dyDescent="0.2">
      <c r="A404" s="39"/>
      <c r="B404" s="39" t="s">
        <v>450</v>
      </c>
      <c r="C404" s="39" t="s">
        <v>452</v>
      </c>
      <c r="D404" s="40" t="s">
        <v>253</v>
      </c>
      <c r="E404" s="41">
        <v>0.5</v>
      </c>
      <c r="F404" s="41"/>
      <c r="G404" s="41">
        <f>SmtRes!CX140</f>
        <v>6</v>
      </c>
      <c r="H404" s="43">
        <f>SmtRes!CZ140</f>
        <v>238.29</v>
      </c>
      <c r="I404" s="42">
        <f>SmtRes!AI140</f>
        <v>1.77</v>
      </c>
      <c r="J404" s="43">
        <f>ROUND(H404*I404, 2)</f>
        <v>421.77</v>
      </c>
      <c r="K404" s="42"/>
      <c r="L404" s="43">
        <f>SmtRes!DF140</f>
        <v>2530.62</v>
      </c>
    </row>
    <row r="405" spans="1:83" ht="14.25" x14ac:dyDescent="0.2">
      <c r="A405" s="39"/>
      <c r="B405" s="39" t="s">
        <v>411</v>
      </c>
      <c r="C405" s="46" t="s">
        <v>413</v>
      </c>
      <c r="D405" s="47" t="s">
        <v>253</v>
      </c>
      <c r="E405" s="48">
        <v>0</v>
      </c>
      <c r="F405" s="48"/>
      <c r="G405" s="48">
        <f>SmtRes!CX141</f>
        <v>0</v>
      </c>
      <c r="H405" s="49">
        <f>SmtRes!CZ141</f>
        <v>174.93</v>
      </c>
      <c r="I405" s="50">
        <f>SmtRes!AI141</f>
        <v>1.1499999999999999</v>
      </c>
      <c r="J405" s="49">
        <f>ROUND(H405*I405, 2)</f>
        <v>201.17</v>
      </c>
      <c r="K405" s="50"/>
      <c r="L405" s="49">
        <f>SmtRes!DF141</f>
        <v>0</v>
      </c>
    </row>
    <row r="406" spans="1:83" ht="15" x14ac:dyDescent="0.2">
      <c r="A406" s="39"/>
      <c r="B406" s="39"/>
      <c r="C406" s="53" t="s">
        <v>576</v>
      </c>
      <c r="D406" s="40"/>
      <c r="E406" s="41"/>
      <c r="F406" s="41"/>
      <c r="G406" s="41"/>
      <c r="H406" s="43"/>
      <c r="I406" s="42"/>
      <c r="J406" s="43"/>
      <c r="K406" s="42"/>
      <c r="L406" s="43">
        <f>L395+L397+L398+L403</f>
        <v>20455.05</v>
      </c>
    </row>
    <row r="407" spans="1:83" ht="14.25" x14ac:dyDescent="0.2">
      <c r="A407" s="39"/>
      <c r="B407" s="39"/>
      <c r="C407" s="39" t="s">
        <v>577</v>
      </c>
      <c r="D407" s="40"/>
      <c r="E407" s="41"/>
      <c r="F407" s="41"/>
      <c r="G407" s="41"/>
      <c r="H407" s="43"/>
      <c r="I407" s="42"/>
      <c r="J407" s="43"/>
      <c r="K407" s="42"/>
      <c r="L407" s="43">
        <f>SUM(AR394:AR410)+SUM(AS394:AS410)+SUM(AT394:AT410)+SUM(AU394:AU410)+SUM(AV394:AV410)</f>
        <v>16204.5</v>
      </c>
    </row>
    <row r="408" spans="1:83" ht="14.25" x14ac:dyDescent="0.2">
      <c r="A408" s="39"/>
      <c r="B408" s="39" t="s">
        <v>82</v>
      </c>
      <c r="C408" s="39" t="s">
        <v>578</v>
      </c>
      <c r="D408" s="40" t="s">
        <v>408</v>
      </c>
      <c r="E408" s="41">
        <f>Source!BZ115</f>
        <v>103</v>
      </c>
      <c r="F408" s="41"/>
      <c r="G408" s="41">
        <f>Source!AT115</f>
        <v>103</v>
      </c>
      <c r="H408" s="43"/>
      <c r="I408" s="42"/>
      <c r="J408" s="43"/>
      <c r="K408" s="42"/>
      <c r="L408" s="43">
        <f>SUM(AZ394:AZ410)</f>
        <v>16690.64</v>
      </c>
    </row>
    <row r="409" spans="1:83" ht="14.25" x14ac:dyDescent="0.2">
      <c r="A409" s="46"/>
      <c r="B409" s="46" t="s">
        <v>83</v>
      </c>
      <c r="C409" s="46" t="s">
        <v>579</v>
      </c>
      <c r="D409" s="47" t="s">
        <v>408</v>
      </c>
      <c r="E409" s="48">
        <f>Source!CA115</f>
        <v>60</v>
      </c>
      <c r="F409" s="48"/>
      <c r="G409" s="48">
        <f>Source!AU115</f>
        <v>60</v>
      </c>
      <c r="H409" s="49"/>
      <c r="I409" s="50"/>
      <c r="J409" s="49"/>
      <c r="K409" s="50"/>
      <c r="L409" s="49">
        <f>SUM(BA394:BA410)</f>
        <v>9722.7000000000007</v>
      </c>
    </row>
    <row r="410" spans="1:83" ht="15" x14ac:dyDescent="0.2">
      <c r="C410" s="104" t="s">
        <v>580</v>
      </c>
      <c r="D410" s="104"/>
      <c r="E410" s="104"/>
      <c r="F410" s="104"/>
      <c r="G410" s="104"/>
      <c r="H410" s="104"/>
      <c r="I410" s="105">
        <f>K410/E394</f>
        <v>3905.6991666666659</v>
      </c>
      <c r="J410" s="105"/>
      <c r="K410" s="105">
        <f>L395+L397+L403+L408+L409+L398</f>
        <v>46868.389999999992</v>
      </c>
      <c r="L410" s="105"/>
      <c r="AD410">
        <f>ROUND((Source!AT115/100)*((ROUND(SUMIF(SmtRes!AQ136:'SmtRes'!AQ146,"=1",SmtRes!AD136:'SmtRes'!AD146)*Source!I115, 2)+ROUND(SUMIF(SmtRes!AQ136:'SmtRes'!AQ146,"=1",SmtRes!AC136:'SmtRes'!AC146)*Source!I115, 2))), 2)</f>
        <v>17850.189999999999</v>
      </c>
      <c r="AE410">
        <f>ROUND((Source!AU115/100)*((ROUND(SUMIF(SmtRes!AQ136:'SmtRes'!AQ146,"=1",SmtRes!AD136:'SmtRes'!AD146)*Source!I115, 2)+ROUND(SUMIF(SmtRes!AQ136:'SmtRes'!AQ146,"=1",SmtRes!AC136:'SmtRes'!AC146)*Source!I115, 2))), 2)</f>
        <v>10398.17</v>
      </c>
      <c r="AN410" s="51">
        <f>L395+L397+L403+L408+L409+L398</f>
        <v>46868.389999999992</v>
      </c>
      <c r="AO410" s="51">
        <f>L397</f>
        <v>1719.9299999999994</v>
      </c>
      <c r="AQ410" t="s">
        <v>581</v>
      </c>
      <c r="AR410" s="51">
        <f>L395</f>
        <v>14615.12</v>
      </c>
      <c r="AT410" s="51">
        <f>L398</f>
        <v>1589.38</v>
      </c>
      <c r="AV410" t="s">
        <v>581</v>
      </c>
      <c r="AW410" s="51">
        <f>L403</f>
        <v>2530.62</v>
      </c>
      <c r="AZ410">
        <f>Source!X115</f>
        <v>16690.64</v>
      </c>
      <c r="BA410">
        <f>Source!Y115</f>
        <v>9722.7000000000007</v>
      </c>
      <c r="CD410">
        <v>1</v>
      </c>
    </row>
    <row r="411" spans="1:83" ht="28.5" x14ac:dyDescent="0.2">
      <c r="A411" s="37" t="s">
        <v>168</v>
      </c>
      <c r="B411" s="39" t="s">
        <v>595</v>
      </c>
      <c r="C411" s="39" t="str">
        <f>Source!G116</f>
        <v>Устройство ввода в здание, количество проводов в линии: 4</v>
      </c>
      <c r="D411" s="40" t="str">
        <f>Source!H116</f>
        <v>ШТ</v>
      </c>
      <c r="E411" s="41">
        <f>Source!K116</f>
        <v>1</v>
      </c>
      <c r="F411" s="41"/>
      <c r="G411" s="41">
        <f>Source!I116</f>
        <v>1</v>
      </c>
      <c r="H411" s="43"/>
      <c r="I411" s="42"/>
      <c r="J411" s="43"/>
      <c r="K411" s="42"/>
      <c r="L411" s="43"/>
    </row>
    <row r="412" spans="1:83" ht="15" x14ac:dyDescent="0.2">
      <c r="A412" s="38"/>
      <c r="B412" s="41">
        <v>1</v>
      </c>
      <c r="C412" s="38" t="s">
        <v>571</v>
      </c>
      <c r="D412" s="40" t="s">
        <v>372</v>
      </c>
      <c r="E412" s="44"/>
      <c r="F412" s="41"/>
      <c r="G412" s="44">
        <f>Source!U116</f>
        <v>4.2699999999999996</v>
      </c>
      <c r="H412" s="41"/>
      <c r="I412" s="41"/>
      <c r="J412" s="41"/>
      <c r="K412" s="41"/>
      <c r="L412" s="45">
        <f>SUM(L413:L413)-SUMIF(CE413:CE413, 1, L413:L413)</f>
        <v>2282.23</v>
      </c>
    </row>
    <row r="413" spans="1:83" ht="14.25" x14ac:dyDescent="0.2">
      <c r="A413" s="39"/>
      <c r="B413" s="39" t="s">
        <v>414</v>
      </c>
      <c r="C413" s="39" t="s">
        <v>415</v>
      </c>
      <c r="D413" s="40" t="s">
        <v>372</v>
      </c>
      <c r="E413" s="41">
        <v>4.2699999999999996</v>
      </c>
      <c r="F413" s="41"/>
      <c r="G413" s="41">
        <f>SmtRes!CX147</f>
        <v>4.2699999999999996</v>
      </c>
      <c r="H413" s="43"/>
      <c r="I413" s="42"/>
      <c r="J413" s="43">
        <f>SmtRes!CZ147</f>
        <v>534.48</v>
      </c>
      <c r="K413" s="42"/>
      <c r="L413" s="43">
        <f>SmtRes!DI147</f>
        <v>2282.23</v>
      </c>
    </row>
    <row r="414" spans="1:83" ht="15" x14ac:dyDescent="0.2">
      <c r="A414" s="38"/>
      <c r="B414" s="41">
        <v>2</v>
      </c>
      <c r="C414" s="38" t="s">
        <v>572</v>
      </c>
      <c r="D414" s="40"/>
      <c r="E414" s="44"/>
      <c r="F414" s="41"/>
      <c r="G414" s="44"/>
      <c r="H414" s="41"/>
      <c r="I414" s="41"/>
      <c r="J414" s="41"/>
      <c r="K414" s="41"/>
      <c r="L414" s="45">
        <f>SUM(L415:L421)-SUMIF(CE415:CE421, 1, L415:L421)</f>
        <v>7450.1200000000008</v>
      </c>
    </row>
    <row r="415" spans="1:83" ht="15" x14ac:dyDescent="0.2">
      <c r="A415" s="38"/>
      <c r="B415" s="41"/>
      <c r="C415" s="38" t="s">
        <v>575</v>
      </c>
      <c r="D415" s="40" t="s">
        <v>372</v>
      </c>
      <c r="E415" s="44"/>
      <c r="F415" s="41"/>
      <c r="G415" s="44">
        <f>Source!V116</f>
        <v>3.7299999999999995</v>
      </c>
      <c r="H415" s="41"/>
      <c r="I415" s="41"/>
      <c r="J415" s="41"/>
      <c r="K415" s="41"/>
      <c r="L415" s="45">
        <f>SUMIF(CE416:CE421, 1, L416:L421)</f>
        <v>2456.17</v>
      </c>
      <c r="CE415">
        <v>1</v>
      </c>
    </row>
    <row r="416" spans="1:83" ht="28.5" x14ac:dyDescent="0.2">
      <c r="A416" s="39"/>
      <c r="B416" s="39" t="s">
        <v>386</v>
      </c>
      <c r="C416" s="39" t="s">
        <v>388</v>
      </c>
      <c r="D416" s="40" t="s">
        <v>378</v>
      </c>
      <c r="E416" s="41">
        <v>0.01</v>
      </c>
      <c r="F416" s="41"/>
      <c r="G416" s="41">
        <f>SmtRes!CX149</f>
        <v>0.01</v>
      </c>
      <c r="H416" s="43"/>
      <c r="I416" s="42"/>
      <c r="J416" s="43">
        <f>SmtRes!CZ149</f>
        <v>1551.19</v>
      </c>
      <c r="K416" s="42"/>
      <c r="L416" s="43">
        <f>SmtRes!DG149</f>
        <v>15.51</v>
      </c>
    </row>
    <row r="417" spans="1:83" ht="14.25" x14ac:dyDescent="0.2">
      <c r="A417" s="39"/>
      <c r="B417" s="39" t="s">
        <v>389</v>
      </c>
      <c r="C417" s="39" t="s">
        <v>583</v>
      </c>
      <c r="D417" s="40" t="s">
        <v>372</v>
      </c>
      <c r="E417" s="41">
        <f>SmtRes!DO149*SmtRes!AT149</f>
        <v>0.01</v>
      </c>
      <c r="F417" s="41"/>
      <c r="G417" s="41">
        <f>SmtRes!DO149*SmtRes!CX149</f>
        <v>0.01</v>
      </c>
      <c r="H417" s="43"/>
      <c r="I417" s="42"/>
      <c r="J417" s="43">
        <f>ROUND(SmtRes!AG149/SmtRes!DO149, 2)</f>
        <v>658.94</v>
      </c>
      <c r="K417" s="42"/>
      <c r="L417" s="43">
        <f>SmtRes!DH149</f>
        <v>6.59</v>
      </c>
      <c r="CE417">
        <v>1</v>
      </c>
    </row>
    <row r="418" spans="1:83" ht="28.5" x14ac:dyDescent="0.2">
      <c r="A418" s="39"/>
      <c r="B418" s="39" t="s">
        <v>416</v>
      </c>
      <c r="C418" s="39" t="s">
        <v>418</v>
      </c>
      <c r="D418" s="40" t="s">
        <v>378</v>
      </c>
      <c r="E418" s="41">
        <v>3.71</v>
      </c>
      <c r="F418" s="41"/>
      <c r="G418" s="41">
        <f>SmtRes!CX150</f>
        <v>3.71</v>
      </c>
      <c r="H418" s="43">
        <f>SmtRes!CZ150</f>
        <v>1472.34</v>
      </c>
      <c r="I418" s="42">
        <f>SmtRes!AJ150</f>
        <v>1.36</v>
      </c>
      <c r="J418" s="43">
        <f>ROUND(H418*I418, 2)</f>
        <v>2002.38</v>
      </c>
      <c r="K418" s="42"/>
      <c r="L418" s="43">
        <f>SmtRes!DG150</f>
        <v>7428.83</v>
      </c>
    </row>
    <row r="419" spans="1:83" ht="14.25" x14ac:dyDescent="0.2">
      <c r="A419" s="39"/>
      <c r="B419" s="39" t="s">
        <v>389</v>
      </c>
      <c r="C419" s="39" t="s">
        <v>583</v>
      </c>
      <c r="D419" s="40" t="s">
        <v>372</v>
      </c>
      <c r="E419" s="41">
        <f>SmtRes!DO150*SmtRes!AT150</f>
        <v>3.71</v>
      </c>
      <c r="F419" s="41"/>
      <c r="G419" s="41">
        <f>SmtRes!DO150*SmtRes!CX150</f>
        <v>3.71</v>
      </c>
      <c r="H419" s="43"/>
      <c r="I419" s="42"/>
      <c r="J419" s="43">
        <f>ROUND(SmtRes!AG150/SmtRes!DO150, 2)</f>
        <v>658.94</v>
      </c>
      <c r="K419" s="42"/>
      <c r="L419" s="43">
        <f>SmtRes!DH150</f>
        <v>2444.67</v>
      </c>
      <c r="CE419">
        <v>1</v>
      </c>
    </row>
    <row r="420" spans="1:83" ht="28.5" x14ac:dyDescent="0.2">
      <c r="A420" s="39"/>
      <c r="B420" s="39" t="s">
        <v>380</v>
      </c>
      <c r="C420" s="39" t="s">
        <v>382</v>
      </c>
      <c r="D420" s="40" t="s">
        <v>378</v>
      </c>
      <c r="E420" s="41">
        <v>0.01</v>
      </c>
      <c r="F420" s="41"/>
      <c r="G420" s="41">
        <f>SmtRes!CX151</f>
        <v>0.01</v>
      </c>
      <c r="H420" s="43">
        <f>SmtRes!CZ151</f>
        <v>477.92</v>
      </c>
      <c r="I420" s="42">
        <f>SmtRes!AJ151</f>
        <v>1.21</v>
      </c>
      <c r="J420" s="43">
        <f>ROUND(H420*I420, 2)</f>
        <v>578.28</v>
      </c>
      <c r="K420" s="42"/>
      <c r="L420" s="43">
        <f>SmtRes!DG151</f>
        <v>5.78</v>
      </c>
    </row>
    <row r="421" spans="1:83" ht="14.25" x14ac:dyDescent="0.2">
      <c r="A421" s="39"/>
      <c r="B421" s="39" t="s">
        <v>383</v>
      </c>
      <c r="C421" s="39" t="s">
        <v>574</v>
      </c>
      <c r="D421" s="40" t="s">
        <v>372</v>
      </c>
      <c r="E421" s="41">
        <f>SmtRes!DO151*SmtRes!AT151</f>
        <v>0.01</v>
      </c>
      <c r="F421" s="41"/>
      <c r="G421" s="41">
        <f>SmtRes!DO151*SmtRes!CX151</f>
        <v>0.01</v>
      </c>
      <c r="H421" s="43"/>
      <c r="I421" s="42"/>
      <c r="J421" s="43">
        <f>ROUND(SmtRes!AG151/SmtRes!DO151, 2)</f>
        <v>490.55</v>
      </c>
      <c r="K421" s="42"/>
      <c r="L421" s="43">
        <f>SmtRes!DH151</f>
        <v>4.91</v>
      </c>
      <c r="CE421">
        <v>1</v>
      </c>
    </row>
    <row r="422" spans="1:83" ht="15" x14ac:dyDescent="0.2">
      <c r="A422" s="38"/>
      <c r="B422" s="41">
        <v>4</v>
      </c>
      <c r="C422" s="38" t="s">
        <v>591</v>
      </c>
      <c r="D422" s="40"/>
      <c r="E422" s="44"/>
      <c r="F422" s="41"/>
      <c r="G422" s="44"/>
      <c r="H422" s="41"/>
      <c r="I422" s="41"/>
      <c r="J422" s="41"/>
      <c r="K422" s="41"/>
      <c r="L422" s="45">
        <f>SUM(L423:L427)-SUMIF(CE423:CE427, 1, L423:L427)</f>
        <v>75.12</v>
      </c>
    </row>
    <row r="423" spans="1:83" ht="57" x14ac:dyDescent="0.2">
      <c r="A423" s="39"/>
      <c r="B423" s="39" t="s">
        <v>419</v>
      </c>
      <c r="C423" s="39" t="s">
        <v>421</v>
      </c>
      <c r="D423" s="40" t="s">
        <v>422</v>
      </c>
      <c r="E423" s="41">
        <v>29.09</v>
      </c>
      <c r="F423" s="41"/>
      <c r="G423" s="41">
        <f>SmtRes!CX152</f>
        <v>29.09</v>
      </c>
      <c r="H423" s="43">
        <f>SmtRes!CZ152</f>
        <v>0.5</v>
      </c>
      <c r="I423" s="42">
        <f>SmtRes!AI152</f>
        <v>1.53</v>
      </c>
      <c r="J423" s="43">
        <f>ROUND(H423*I423, 2)</f>
        <v>0.77</v>
      </c>
      <c r="K423" s="42"/>
      <c r="L423" s="43">
        <f>SmtRes!DF152</f>
        <v>22.4</v>
      </c>
    </row>
    <row r="424" spans="1:83" ht="14.25" x14ac:dyDescent="0.2">
      <c r="A424" s="39"/>
      <c r="B424" s="39" t="s">
        <v>411</v>
      </c>
      <c r="C424" s="39" t="s">
        <v>413</v>
      </c>
      <c r="D424" s="40" t="s">
        <v>253</v>
      </c>
      <c r="E424" s="41">
        <v>0.02</v>
      </c>
      <c r="F424" s="41"/>
      <c r="G424" s="41">
        <f>SmtRes!CX153</f>
        <v>0.02</v>
      </c>
      <c r="H424" s="43">
        <f>SmtRes!CZ153</f>
        <v>174.93</v>
      </c>
      <c r="I424" s="42">
        <f>SmtRes!AI153</f>
        <v>1.1499999999999999</v>
      </c>
      <c r="J424" s="43">
        <f>ROUND(H424*I424, 2)</f>
        <v>201.17</v>
      </c>
      <c r="K424" s="42"/>
      <c r="L424" s="43">
        <f>SmtRes!DF153</f>
        <v>4.0199999999999996</v>
      </c>
    </row>
    <row r="425" spans="1:83" ht="28.5" x14ac:dyDescent="0.2">
      <c r="A425" s="39"/>
      <c r="B425" s="39" t="s">
        <v>423</v>
      </c>
      <c r="C425" s="39" t="s">
        <v>425</v>
      </c>
      <c r="D425" s="40" t="s">
        <v>253</v>
      </c>
      <c r="E425" s="41">
        <v>0.13</v>
      </c>
      <c r="F425" s="41"/>
      <c r="G425" s="41">
        <f>SmtRes!CX154</f>
        <v>0.13</v>
      </c>
      <c r="H425" s="43">
        <f>SmtRes!CZ154</f>
        <v>79.88</v>
      </c>
      <c r="I425" s="42">
        <f>SmtRes!AI154</f>
        <v>1.31</v>
      </c>
      <c r="J425" s="43">
        <f>ROUND(H425*I425, 2)</f>
        <v>104.64</v>
      </c>
      <c r="K425" s="42"/>
      <c r="L425" s="43">
        <f>SmtRes!DF154</f>
        <v>13.6</v>
      </c>
    </row>
    <row r="426" spans="1:83" ht="14.25" x14ac:dyDescent="0.2">
      <c r="A426" s="39"/>
      <c r="B426" s="39" t="s">
        <v>426</v>
      </c>
      <c r="C426" s="39" t="s">
        <v>428</v>
      </c>
      <c r="D426" s="40" t="s">
        <v>244</v>
      </c>
      <c r="E426" s="41">
        <v>2.0000000000000002E-5</v>
      </c>
      <c r="F426" s="41"/>
      <c r="G426" s="41">
        <f>SmtRes!CX155</f>
        <v>2.0000000000000002E-5</v>
      </c>
      <c r="H426" s="43">
        <f>SmtRes!CZ155</f>
        <v>82698.14</v>
      </c>
      <c r="I426" s="42">
        <f>SmtRes!AI155</f>
        <v>1.22</v>
      </c>
      <c r="J426" s="43">
        <f>ROUND(H426*I426, 2)</f>
        <v>100891.73</v>
      </c>
      <c r="K426" s="42"/>
      <c r="L426" s="43">
        <f>SmtRes!DF155</f>
        <v>2.02</v>
      </c>
    </row>
    <row r="427" spans="1:83" ht="14.25" x14ac:dyDescent="0.2">
      <c r="A427" s="39"/>
      <c r="B427" s="39" t="s">
        <v>429</v>
      </c>
      <c r="C427" s="46" t="s">
        <v>431</v>
      </c>
      <c r="D427" s="47" t="s">
        <v>432</v>
      </c>
      <c r="E427" s="48">
        <v>8.0000000000000002E-3</v>
      </c>
      <c r="F427" s="48"/>
      <c r="G427" s="48">
        <f>SmtRes!CX156</f>
        <v>8.0000000000000002E-3</v>
      </c>
      <c r="H427" s="49">
        <f>SmtRes!CZ156</f>
        <v>3658.94</v>
      </c>
      <c r="I427" s="50">
        <f>SmtRes!AI156</f>
        <v>1.1299999999999999</v>
      </c>
      <c r="J427" s="49">
        <f>ROUND(H427*I427, 2)</f>
        <v>4134.6000000000004</v>
      </c>
      <c r="K427" s="50"/>
      <c r="L427" s="49">
        <f>SmtRes!DF156</f>
        <v>33.08</v>
      </c>
    </row>
    <row r="428" spans="1:83" ht="15" x14ac:dyDescent="0.2">
      <c r="A428" s="39"/>
      <c r="B428" s="39"/>
      <c r="C428" s="53" t="s">
        <v>576</v>
      </c>
      <c r="D428" s="40"/>
      <c r="E428" s="41"/>
      <c r="F428" s="41"/>
      <c r="G428" s="41"/>
      <c r="H428" s="43"/>
      <c r="I428" s="42"/>
      <c r="J428" s="43"/>
      <c r="K428" s="42"/>
      <c r="L428" s="43">
        <f>L412+L414+L415+L422</f>
        <v>12263.640000000001</v>
      </c>
    </row>
    <row r="429" spans="1:83" ht="14.25" x14ac:dyDescent="0.2">
      <c r="A429" s="39"/>
      <c r="B429" s="39"/>
      <c r="C429" s="39" t="s">
        <v>577</v>
      </c>
      <c r="D429" s="40"/>
      <c r="E429" s="41"/>
      <c r="F429" s="41"/>
      <c r="G429" s="41"/>
      <c r="H429" s="43"/>
      <c r="I429" s="42"/>
      <c r="J429" s="43"/>
      <c r="K429" s="42"/>
      <c r="L429" s="43">
        <f>SUM(AR411:AR432)+SUM(AS411:AS432)+SUM(AT411:AT432)+SUM(AU411:AU432)+SUM(AV411:AV432)</f>
        <v>4738.3999999999996</v>
      </c>
    </row>
    <row r="430" spans="1:83" ht="28.5" x14ac:dyDescent="0.2">
      <c r="A430" s="39"/>
      <c r="B430" s="39" t="s">
        <v>117</v>
      </c>
      <c r="C430" s="39" t="s">
        <v>592</v>
      </c>
      <c r="D430" s="40" t="s">
        <v>408</v>
      </c>
      <c r="E430" s="41">
        <f>Source!BZ116</f>
        <v>97</v>
      </c>
      <c r="F430" s="41"/>
      <c r="G430" s="41">
        <f>Source!AT116</f>
        <v>97</v>
      </c>
      <c r="H430" s="43"/>
      <c r="I430" s="42"/>
      <c r="J430" s="43"/>
      <c r="K430" s="42"/>
      <c r="L430" s="43">
        <f>SUM(AZ411:AZ432)</f>
        <v>4596.25</v>
      </c>
    </row>
    <row r="431" spans="1:83" ht="28.5" x14ac:dyDescent="0.2">
      <c r="A431" s="46"/>
      <c r="B431" s="46" t="s">
        <v>118</v>
      </c>
      <c r="C431" s="46" t="s">
        <v>593</v>
      </c>
      <c r="D431" s="47" t="s">
        <v>408</v>
      </c>
      <c r="E431" s="48">
        <f>Source!CA116</f>
        <v>51</v>
      </c>
      <c r="F431" s="48"/>
      <c r="G431" s="48">
        <f>Source!AU116</f>
        <v>51</v>
      </c>
      <c r="H431" s="49"/>
      <c r="I431" s="50"/>
      <c r="J431" s="49"/>
      <c r="K431" s="50"/>
      <c r="L431" s="49">
        <f>SUM(BA411:BA432)</f>
        <v>2416.58</v>
      </c>
    </row>
    <row r="432" spans="1:83" ht="15" x14ac:dyDescent="0.2">
      <c r="C432" s="104" t="s">
        <v>580</v>
      </c>
      <c r="D432" s="104"/>
      <c r="E432" s="104"/>
      <c r="F432" s="104"/>
      <c r="G432" s="104"/>
      <c r="H432" s="104"/>
      <c r="I432" s="105">
        <f>K432/E411</f>
        <v>19276.47</v>
      </c>
      <c r="J432" s="105"/>
      <c r="K432" s="105">
        <f>L412+L414+L422+L430+L431+L415</f>
        <v>19276.47</v>
      </c>
      <c r="L432" s="105"/>
      <c r="AD432">
        <f>ROUND((Source!AT116/100)*((ROUND(SUMIF(SmtRes!AQ147:'SmtRes'!AQ157,"=1",SmtRes!AD147:'SmtRes'!AD157)*Source!I116, 2)+ROUND(SUMIF(SmtRes!AQ147:'SmtRes'!AQ157,"=1",SmtRes!AC147:'SmtRes'!AC157)*Source!I116, 2))), 2)</f>
        <v>2272.62</v>
      </c>
      <c r="AE432">
        <f>ROUND((Source!AU116/100)*((ROUND(SUMIF(SmtRes!AQ147:'SmtRes'!AQ157,"=1",SmtRes!AD147:'SmtRes'!AD157)*Source!I116, 2)+ROUND(SUMIF(SmtRes!AQ147:'SmtRes'!AQ157,"=1",SmtRes!AC147:'SmtRes'!AC157)*Source!I116, 2))), 2)</f>
        <v>1194.8800000000001</v>
      </c>
      <c r="AN432" s="51">
        <f>L412+L414+L422+L430+L431+L415</f>
        <v>19276.47</v>
      </c>
      <c r="AO432" s="51">
        <f>L414</f>
        <v>7450.1200000000008</v>
      </c>
      <c r="AQ432" t="s">
        <v>581</v>
      </c>
      <c r="AR432" s="51">
        <f>L412</f>
        <v>2282.23</v>
      </c>
      <c r="AT432" s="51">
        <f>L415</f>
        <v>2456.17</v>
      </c>
      <c r="AV432" t="s">
        <v>581</v>
      </c>
      <c r="AW432" s="51">
        <f>L422</f>
        <v>75.12</v>
      </c>
      <c r="AZ432">
        <f>Source!X116</f>
        <v>4596.25</v>
      </c>
      <c r="BA432">
        <f>Source!Y116</f>
        <v>2416.58</v>
      </c>
      <c r="CD432">
        <v>2</v>
      </c>
    </row>
    <row r="433" spans="1:83" ht="28.5" x14ac:dyDescent="0.2">
      <c r="A433" s="37" t="s">
        <v>170</v>
      </c>
      <c r="B433" s="39" t="s">
        <v>631</v>
      </c>
      <c r="C433" s="39" t="str">
        <f>Source!G117</f>
        <v>Заземлитель вертикальный из угловой стали размером: 63х63х6 мм</v>
      </c>
      <c r="D433" s="40" t="str">
        <f>Source!H117</f>
        <v>10 ШТ</v>
      </c>
      <c r="E433" s="41">
        <f>Source!K117</f>
        <v>1.2</v>
      </c>
      <c r="F433" s="41"/>
      <c r="G433" s="41">
        <f>Source!I117</f>
        <v>1.2</v>
      </c>
      <c r="H433" s="43"/>
      <c r="I433" s="42"/>
      <c r="J433" s="43"/>
      <c r="K433" s="42"/>
      <c r="L433" s="43"/>
    </row>
    <row r="434" spans="1:83" x14ac:dyDescent="0.2">
      <c r="C434" s="60" t="str">
        <f>"Объем: "&amp;Source!I117&amp;"=12/"&amp;"10"</f>
        <v>Объем: 1,2=12/10</v>
      </c>
    </row>
    <row r="435" spans="1:83" ht="15" x14ac:dyDescent="0.2">
      <c r="A435" s="38"/>
      <c r="B435" s="41">
        <v>1</v>
      </c>
      <c r="C435" s="38" t="s">
        <v>571</v>
      </c>
      <c r="D435" s="40" t="s">
        <v>372</v>
      </c>
      <c r="E435" s="44"/>
      <c r="F435" s="41"/>
      <c r="G435" s="44">
        <f>Source!U117</f>
        <v>12.36</v>
      </c>
      <c r="H435" s="41"/>
      <c r="I435" s="41"/>
      <c r="J435" s="41"/>
      <c r="K435" s="41"/>
      <c r="L435" s="45">
        <f>SUM(L436:L436)-SUMIF(CE436:CE436, 1, L436:L436)</f>
        <v>5927.36</v>
      </c>
    </row>
    <row r="436" spans="1:83" ht="14.25" x14ac:dyDescent="0.2">
      <c r="A436" s="39"/>
      <c r="B436" s="39" t="s">
        <v>433</v>
      </c>
      <c r="C436" s="39" t="s">
        <v>519</v>
      </c>
      <c r="D436" s="40" t="s">
        <v>372</v>
      </c>
      <c r="E436" s="41">
        <v>10.3</v>
      </c>
      <c r="F436" s="41"/>
      <c r="G436" s="41">
        <f>SmtRes!CX158</f>
        <v>12.36</v>
      </c>
      <c r="H436" s="43"/>
      <c r="I436" s="42"/>
      <c r="J436" s="43">
        <f>SmtRes!CZ158</f>
        <v>479.56</v>
      </c>
      <c r="K436" s="42"/>
      <c r="L436" s="43">
        <f>SmtRes!DI158</f>
        <v>5927.36</v>
      </c>
    </row>
    <row r="437" spans="1:83" ht="15" x14ac:dyDescent="0.2">
      <c r="A437" s="38"/>
      <c r="B437" s="41">
        <v>2</v>
      </c>
      <c r="C437" s="38" t="s">
        <v>572</v>
      </c>
      <c r="D437" s="40"/>
      <c r="E437" s="44"/>
      <c r="F437" s="41"/>
      <c r="G437" s="44"/>
      <c r="H437" s="41"/>
      <c r="I437" s="41"/>
      <c r="J437" s="41"/>
      <c r="K437" s="41"/>
      <c r="L437" s="45">
        <f>SUM(L438:L443)-SUMIF(CE438:CE443, 1, L438:L443)</f>
        <v>737.63999999999987</v>
      </c>
    </row>
    <row r="438" spans="1:83" ht="15" x14ac:dyDescent="0.2">
      <c r="A438" s="38"/>
      <c r="B438" s="41"/>
      <c r="C438" s="38" t="s">
        <v>575</v>
      </c>
      <c r="D438" s="40" t="s">
        <v>372</v>
      </c>
      <c r="E438" s="44"/>
      <c r="F438" s="41"/>
      <c r="G438" s="44">
        <f>Source!V117</f>
        <v>0.64800000000000002</v>
      </c>
      <c r="H438" s="41"/>
      <c r="I438" s="41"/>
      <c r="J438" s="41"/>
      <c r="K438" s="41"/>
      <c r="L438" s="45">
        <f>SUMIF(CE439:CE443, 1, L439:L443)</f>
        <v>372.44</v>
      </c>
      <c r="CE438">
        <v>1</v>
      </c>
    </row>
    <row r="439" spans="1:83" ht="28.5" x14ac:dyDescent="0.2">
      <c r="A439" s="39"/>
      <c r="B439" s="39" t="s">
        <v>386</v>
      </c>
      <c r="C439" s="39" t="s">
        <v>388</v>
      </c>
      <c r="D439" s="40" t="s">
        <v>378</v>
      </c>
      <c r="E439" s="41">
        <v>0.27</v>
      </c>
      <c r="F439" s="41"/>
      <c r="G439" s="41">
        <f>SmtRes!CX160</f>
        <v>0.32400000000000001</v>
      </c>
      <c r="H439" s="43"/>
      <c r="I439" s="42"/>
      <c r="J439" s="43">
        <f>SmtRes!CZ160</f>
        <v>1551.19</v>
      </c>
      <c r="K439" s="42"/>
      <c r="L439" s="43">
        <f>SmtRes!DG160</f>
        <v>502.59</v>
      </c>
    </row>
    <row r="440" spans="1:83" ht="14.25" x14ac:dyDescent="0.2">
      <c r="A440" s="39"/>
      <c r="B440" s="39" t="s">
        <v>389</v>
      </c>
      <c r="C440" s="39" t="s">
        <v>583</v>
      </c>
      <c r="D440" s="40" t="s">
        <v>372</v>
      </c>
      <c r="E440" s="41">
        <f>SmtRes!DO160*SmtRes!AT160</f>
        <v>0.27</v>
      </c>
      <c r="F440" s="41"/>
      <c r="G440" s="41">
        <f>SmtRes!DO160*SmtRes!CX160</f>
        <v>0.32400000000000001</v>
      </c>
      <c r="H440" s="43"/>
      <c r="I440" s="42"/>
      <c r="J440" s="43">
        <f>ROUND(SmtRes!AG160/SmtRes!DO160, 2)</f>
        <v>658.94</v>
      </c>
      <c r="K440" s="42"/>
      <c r="L440" s="43">
        <f>SmtRes!DH160</f>
        <v>213.5</v>
      </c>
      <c r="CE440">
        <v>1</v>
      </c>
    </row>
    <row r="441" spans="1:83" ht="28.5" x14ac:dyDescent="0.2">
      <c r="A441" s="39"/>
      <c r="B441" s="39" t="s">
        <v>380</v>
      </c>
      <c r="C441" s="39" t="s">
        <v>382</v>
      </c>
      <c r="D441" s="40" t="s">
        <v>378</v>
      </c>
      <c r="E441" s="41">
        <v>0.27</v>
      </c>
      <c r="F441" s="41"/>
      <c r="G441" s="41">
        <f>SmtRes!CX161</f>
        <v>0.32400000000000001</v>
      </c>
      <c r="H441" s="43">
        <f>SmtRes!CZ161</f>
        <v>477.92</v>
      </c>
      <c r="I441" s="42">
        <f>SmtRes!AJ161</f>
        <v>1.21</v>
      </c>
      <c r="J441" s="43">
        <f>ROUND(H441*I441, 2)</f>
        <v>578.28</v>
      </c>
      <c r="K441" s="42"/>
      <c r="L441" s="43">
        <f>SmtRes!DG161</f>
        <v>187.36</v>
      </c>
    </row>
    <row r="442" spans="1:83" ht="14.25" x14ac:dyDescent="0.2">
      <c r="A442" s="39"/>
      <c r="B442" s="39" t="s">
        <v>383</v>
      </c>
      <c r="C442" s="39" t="s">
        <v>574</v>
      </c>
      <c r="D442" s="40" t="s">
        <v>372</v>
      </c>
      <c r="E442" s="41">
        <f>SmtRes!DO161*SmtRes!AT161</f>
        <v>0.27</v>
      </c>
      <c r="F442" s="41"/>
      <c r="G442" s="41">
        <f>SmtRes!DO161*SmtRes!CX161</f>
        <v>0.32400000000000001</v>
      </c>
      <c r="H442" s="43"/>
      <c r="I442" s="42"/>
      <c r="J442" s="43">
        <f>ROUND(SmtRes!AG161/SmtRes!DO161, 2)</f>
        <v>490.55</v>
      </c>
      <c r="K442" s="42"/>
      <c r="L442" s="43">
        <f>SmtRes!DH161</f>
        <v>158.94</v>
      </c>
      <c r="CE442">
        <v>1</v>
      </c>
    </row>
    <row r="443" spans="1:83" ht="28.5" x14ac:dyDescent="0.2">
      <c r="A443" s="39"/>
      <c r="B443" s="39" t="s">
        <v>435</v>
      </c>
      <c r="C443" s="39" t="s">
        <v>437</v>
      </c>
      <c r="D443" s="40" t="s">
        <v>378</v>
      </c>
      <c r="E443" s="41">
        <v>1.51</v>
      </c>
      <c r="F443" s="41"/>
      <c r="G443" s="41">
        <f>SmtRes!CX162</f>
        <v>1.8120000000000001</v>
      </c>
      <c r="H443" s="43"/>
      <c r="I443" s="42"/>
      <c r="J443" s="43">
        <f>SmtRes!CZ162</f>
        <v>26.32</v>
      </c>
      <c r="K443" s="42"/>
      <c r="L443" s="43">
        <f>SmtRes!DG162</f>
        <v>47.69</v>
      </c>
    </row>
    <row r="444" spans="1:83" ht="15" x14ac:dyDescent="0.2">
      <c r="A444" s="38"/>
      <c r="B444" s="41">
        <v>4</v>
      </c>
      <c r="C444" s="38" t="s">
        <v>591</v>
      </c>
      <c r="D444" s="40"/>
      <c r="E444" s="44"/>
      <c r="F444" s="41"/>
      <c r="G444" s="44"/>
      <c r="H444" s="41"/>
      <c r="I444" s="41"/>
      <c r="J444" s="41"/>
      <c r="K444" s="41"/>
      <c r="L444" s="45">
        <f>SUM(L445:L446)-SUMIF(CE445:CE446, 1, L445:L446)</f>
        <v>3356.85</v>
      </c>
    </row>
    <row r="445" spans="1:83" ht="42.75" x14ac:dyDescent="0.2">
      <c r="A445" s="39"/>
      <c r="B445" s="39" t="s">
        <v>438</v>
      </c>
      <c r="C445" s="39" t="s">
        <v>440</v>
      </c>
      <c r="D445" s="40" t="s">
        <v>253</v>
      </c>
      <c r="E445" s="41">
        <v>0.72</v>
      </c>
      <c r="F445" s="41"/>
      <c r="G445" s="41">
        <f>SmtRes!CX163</f>
        <v>0.86399999999999999</v>
      </c>
      <c r="H445" s="43">
        <f>SmtRes!CZ163</f>
        <v>155.63</v>
      </c>
      <c r="I445" s="42">
        <f>SmtRes!AI163</f>
        <v>0.95</v>
      </c>
      <c r="J445" s="43">
        <f>ROUND(H445*I445, 2)</f>
        <v>147.85</v>
      </c>
      <c r="K445" s="42"/>
      <c r="L445" s="43">
        <f>SmtRes!DF163</f>
        <v>127.74</v>
      </c>
    </row>
    <row r="446" spans="1:83" ht="42.75" x14ac:dyDescent="0.2">
      <c r="A446" s="39"/>
      <c r="B446" s="39" t="s">
        <v>441</v>
      </c>
      <c r="C446" s="46" t="s">
        <v>443</v>
      </c>
      <c r="D446" s="47" t="s">
        <v>253</v>
      </c>
      <c r="E446" s="48">
        <v>2.4</v>
      </c>
      <c r="F446" s="48"/>
      <c r="G446" s="48">
        <f>SmtRes!CX164</f>
        <v>2.88</v>
      </c>
      <c r="H446" s="49">
        <f>SmtRes!CZ164</f>
        <v>911.56</v>
      </c>
      <c r="I446" s="50">
        <f>SmtRes!AI164</f>
        <v>1.23</v>
      </c>
      <c r="J446" s="49">
        <f>ROUND(H446*I446, 2)</f>
        <v>1121.22</v>
      </c>
      <c r="K446" s="50"/>
      <c r="L446" s="49">
        <f>SmtRes!DF164</f>
        <v>3229.11</v>
      </c>
    </row>
    <row r="447" spans="1:83" ht="15" x14ac:dyDescent="0.2">
      <c r="A447" s="39"/>
      <c r="B447" s="39"/>
      <c r="C447" s="53" t="s">
        <v>576</v>
      </c>
      <c r="D447" s="40"/>
      <c r="E447" s="41"/>
      <c r="F447" s="41"/>
      <c r="G447" s="41"/>
      <c r="H447" s="43"/>
      <c r="I447" s="42"/>
      <c r="J447" s="43"/>
      <c r="K447" s="42"/>
      <c r="L447" s="43">
        <f>L435+L437+L438+L444</f>
        <v>10394.289999999999</v>
      </c>
    </row>
    <row r="448" spans="1:83" ht="14.25" x14ac:dyDescent="0.2">
      <c r="A448" s="39"/>
      <c r="B448" s="39"/>
      <c r="C448" s="39" t="s">
        <v>577</v>
      </c>
      <c r="D448" s="40"/>
      <c r="E448" s="41"/>
      <c r="F448" s="41"/>
      <c r="G448" s="41"/>
      <c r="H448" s="43"/>
      <c r="I448" s="42"/>
      <c r="J448" s="43"/>
      <c r="K448" s="42"/>
      <c r="L448" s="43">
        <f>SUM(AR433:AR451)+SUM(AS433:AS451)+SUM(AT433:AT451)+SUM(AU433:AU451)+SUM(AV433:AV451)</f>
        <v>6299.7999999999993</v>
      </c>
    </row>
    <row r="449" spans="1:83" ht="28.5" x14ac:dyDescent="0.2">
      <c r="A449" s="39"/>
      <c r="B449" s="39" t="s">
        <v>117</v>
      </c>
      <c r="C449" s="39" t="s">
        <v>592</v>
      </c>
      <c r="D449" s="40" t="s">
        <v>408</v>
      </c>
      <c r="E449" s="41">
        <f>Source!BZ117</f>
        <v>97</v>
      </c>
      <c r="F449" s="41"/>
      <c r="G449" s="41">
        <f>Source!AT117</f>
        <v>97</v>
      </c>
      <c r="H449" s="43"/>
      <c r="I449" s="42"/>
      <c r="J449" s="43"/>
      <c r="K449" s="42"/>
      <c r="L449" s="43">
        <f>SUM(AZ433:AZ451)</f>
        <v>6110.81</v>
      </c>
    </row>
    <row r="450" spans="1:83" ht="28.5" x14ac:dyDescent="0.2">
      <c r="A450" s="46"/>
      <c r="B450" s="46" t="s">
        <v>118</v>
      </c>
      <c r="C450" s="46" t="s">
        <v>593</v>
      </c>
      <c r="D450" s="47" t="s">
        <v>408</v>
      </c>
      <c r="E450" s="48">
        <f>Source!CA117</f>
        <v>51</v>
      </c>
      <c r="F450" s="48"/>
      <c r="G450" s="48">
        <f>Source!AU117</f>
        <v>51</v>
      </c>
      <c r="H450" s="49"/>
      <c r="I450" s="50"/>
      <c r="J450" s="49"/>
      <c r="K450" s="50"/>
      <c r="L450" s="49">
        <f>SUM(BA433:BA451)</f>
        <v>3212.9</v>
      </c>
    </row>
    <row r="451" spans="1:83" ht="15" x14ac:dyDescent="0.2">
      <c r="C451" s="104" t="s">
        <v>580</v>
      </c>
      <c r="D451" s="104"/>
      <c r="E451" s="104"/>
      <c r="F451" s="104"/>
      <c r="G451" s="104"/>
      <c r="H451" s="104"/>
      <c r="I451" s="105">
        <f>K451/E433</f>
        <v>16431.666666666668</v>
      </c>
      <c r="J451" s="105"/>
      <c r="K451" s="105">
        <f>L435+L437+L444+L449+L450+L438</f>
        <v>19718</v>
      </c>
      <c r="L451" s="105"/>
      <c r="AD451">
        <f>ROUND((Source!AT117/100)*((ROUND(SUMIF(SmtRes!AQ158:'SmtRes'!AQ165,"=1",SmtRes!AD158:'SmtRes'!AD165)*Source!I117, 2)+ROUND(SUMIF(SmtRes!AQ158:'SmtRes'!AQ165,"=1",SmtRes!AC158:'SmtRes'!AC165)*Source!I117, 2))), 2)</f>
        <v>1896.21</v>
      </c>
      <c r="AE451">
        <f>ROUND((Source!AU117/100)*((ROUND(SUMIF(SmtRes!AQ158:'SmtRes'!AQ165,"=1",SmtRes!AD158:'SmtRes'!AD165)*Source!I117, 2)+ROUND(SUMIF(SmtRes!AQ158:'SmtRes'!AQ165,"=1",SmtRes!AC158:'SmtRes'!AC165)*Source!I117, 2))), 2)</f>
        <v>996.98</v>
      </c>
      <c r="AN451" s="51">
        <f>L435+L437+L444+L449+L450+L438</f>
        <v>19718</v>
      </c>
      <c r="AO451" s="51">
        <f>L437</f>
        <v>737.63999999999987</v>
      </c>
      <c r="AQ451" t="s">
        <v>581</v>
      </c>
      <c r="AR451" s="51">
        <f>L435</f>
        <v>5927.36</v>
      </c>
      <c r="AT451" s="51">
        <f>L438</f>
        <v>372.44</v>
      </c>
      <c r="AV451" t="s">
        <v>581</v>
      </c>
      <c r="AW451" s="51">
        <f>L444</f>
        <v>3356.85</v>
      </c>
      <c r="AZ451">
        <f>Source!X117</f>
        <v>6110.81</v>
      </c>
      <c r="BA451">
        <f>Source!Y117</f>
        <v>3212.9</v>
      </c>
      <c r="CD451">
        <v>2</v>
      </c>
    </row>
    <row r="452" spans="1:83" ht="42.75" x14ac:dyDescent="0.2">
      <c r="A452" s="37" t="s">
        <v>174</v>
      </c>
      <c r="B452" s="39" t="s">
        <v>597</v>
      </c>
      <c r="C452" s="39" t="str">
        <f>Source!G118</f>
        <v>Проводник заземляющий открыто по строительным основаниям: из круглой стали диаметром 12 мм</v>
      </c>
      <c r="D452" s="40" t="str">
        <f>Source!H118</f>
        <v>100 м</v>
      </c>
      <c r="E452" s="41">
        <f>Source!K118</f>
        <v>1.08</v>
      </c>
      <c r="F452" s="41"/>
      <c r="G452" s="41">
        <f>Source!I118</f>
        <v>1.08</v>
      </c>
      <c r="H452" s="43"/>
      <c r="I452" s="42"/>
      <c r="J452" s="43"/>
      <c r="K452" s="42"/>
      <c r="L452" s="43"/>
    </row>
    <row r="453" spans="1:83" x14ac:dyDescent="0.2">
      <c r="C453" s="60" t="str">
        <f>"Объем: "&amp;Source!I118&amp;"=108/"&amp;"100"</f>
        <v>Объем: 1,08=108/100</v>
      </c>
    </row>
    <row r="454" spans="1:83" ht="15" x14ac:dyDescent="0.2">
      <c r="A454" s="38"/>
      <c r="B454" s="41">
        <v>1</v>
      </c>
      <c r="C454" s="38" t="s">
        <v>571</v>
      </c>
      <c r="D454" s="40" t="s">
        <v>372</v>
      </c>
      <c r="E454" s="44"/>
      <c r="F454" s="41"/>
      <c r="G454" s="44">
        <f>Source!U118</f>
        <v>19.98</v>
      </c>
      <c r="H454" s="41"/>
      <c r="I454" s="41"/>
      <c r="J454" s="41"/>
      <c r="K454" s="41"/>
      <c r="L454" s="45">
        <f>SUM(L455:L455)-SUMIF(CE455:CE455, 1, L455:L455)</f>
        <v>9581.61</v>
      </c>
    </row>
    <row r="455" spans="1:83" ht="14.25" x14ac:dyDescent="0.2">
      <c r="A455" s="39"/>
      <c r="B455" s="39" t="s">
        <v>433</v>
      </c>
      <c r="C455" s="39" t="s">
        <v>519</v>
      </c>
      <c r="D455" s="40" t="s">
        <v>372</v>
      </c>
      <c r="E455" s="41">
        <v>18.5</v>
      </c>
      <c r="F455" s="41"/>
      <c r="G455" s="41">
        <f>SmtRes!CX166</f>
        <v>19.98</v>
      </c>
      <c r="H455" s="43"/>
      <c r="I455" s="42"/>
      <c r="J455" s="43">
        <f>SmtRes!CZ166</f>
        <v>479.56</v>
      </c>
      <c r="K455" s="42"/>
      <c r="L455" s="43">
        <f>SmtRes!DI166</f>
        <v>9581.61</v>
      </c>
    </row>
    <row r="456" spans="1:83" ht="15" x14ac:dyDescent="0.2">
      <c r="A456" s="38"/>
      <c r="B456" s="41">
        <v>2</v>
      </c>
      <c r="C456" s="38" t="s">
        <v>572</v>
      </c>
      <c r="D456" s="40"/>
      <c r="E456" s="44"/>
      <c r="F456" s="41"/>
      <c r="G456" s="44"/>
      <c r="H456" s="41"/>
      <c r="I456" s="41"/>
      <c r="J456" s="41"/>
      <c r="K456" s="41"/>
      <c r="L456" s="45">
        <f>SUM(L457:L462)-SUMIF(CE457:CE462, 1, L457:L462)</f>
        <v>473.4</v>
      </c>
    </row>
    <row r="457" spans="1:83" ht="15" x14ac:dyDescent="0.2">
      <c r="A457" s="38"/>
      <c r="B457" s="41"/>
      <c r="C457" s="38" t="s">
        <v>575</v>
      </c>
      <c r="D457" s="40" t="s">
        <v>372</v>
      </c>
      <c r="E457" s="44"/>
      <c r="F457" s="41"/>
      <c r="G457" s="44">
        <f>Source!V118</f>
        <v>0.36720000000000003</v>
      </c>
      <c r="H457" s="41"/>
      <c r="I457" s="41"/>
      <c r="J457" s="41"/>
      <c r="K457" s="41"/>
      <c r="L457" s="45">
        <f>SUMIF(CE458:CE462, 1, L458:L462)</f>
        <v>211.04000000000002</v>
      </c>
      <c r="CE457">
        <v>1</v>
      </c>
    </row>
    <row r="458" spans="1:83" ht="28.5" x14ac:dyDescent="0.2">
      <c r="A458" s="39"/>
      <c r="B458" s="39" t="s">
        <v>386</v>
      </c>
      <c r="C458" s="39" t="s">
        <v>388</v>
      </c>
      <c r="D458" s="40" t="s">
        <v>378</v>
      </c>
      <c r="E458" s="41">
        <v>0.17</v>
      </c>
      <c r="F458" s="41"/>
      <c r="G458" s="41">
        <f>SmtRes!CX168</f>
        <v>0.18360000000000001</v>
      </c>
      <c r="H458" s="43"/>
      <c r="I458" s="42"/>
      <c r="J458" s="43">
        <f>SmtRes!CZ168</f>
        <v>1551.19</v>
      </c>
      <c r="K458" s="42"/>
      <c r="L458" s="43">
        <f>SmtRes!DG168</f>
        <v>284.8</v>
      </c>
    </row>
    <row r="459" spans="1:83" ht="14.25" x14ac:dyDescent="0.2">
      <c r="A459" s="39"/>
      <c r="B459" s="39" t="s">
        <v>389</v>
      </c>
      <c r="C459" s="39" t="s">
        <v>583</v>
      </c>
      <c r="D459" s="40" t="s">
        <v>372</v>
      </c>
      <c r="E459" s="41">
        <f>SmtRes!DO168*SmtRes!AT168</f>
        <v>0.17</v>
      </c>
      <c r="F459" s="41"/>
      <c r="G459" s="41">
        <f>SmtRes!DO168*SmtRes!CX168</f>
        <v>0.18360000000000001</v>
      </c>
      <c r="H459" s="43"/>
      <c r="I459" s="42"/>
      <c r="J459" s="43">
        <f>ROUND(SmtRes!AG168/SmtRes!DO168, 2)</f>
        <v>658.94</v>
      </c>
      <c r="K459" s="42"/>
      <c r="L459" s="43">
        <f>SmtRes!DH168</f>
        <v>120.98</v>
      </c>
      <c r="CE459">
        <v>1</v>
      </c>
    </row>
    <row r="460" spans="1:83" ht="28.5" x14ac:dyDescent="0.2">
      <c r="A460" s="39"/>
      <c r="B460" s="39" t="s">
        <v>380</v>
      </c>
      <c r="C460" s="39" t="s">
        <v>382</v>
      </c>
      <c r="D460" s="40" t="s">
        <v>378</v>
      </c>
      <c r="E460" s="41">
        <v>0.17</v>
      </c>
      <c r="F460" s="41"/>
      <c r="G460" s="41">
        <f>SmtRes!CX169</f>
        <v>0.18360000000000001</v>
      </c>
      <c r="H460" s="43">
        <f>SmtRes!CZ169</f>
        <v>477.92</v>
      </c>
      <c r="I460" s="42">
        <f>SmtRes!AJ169</f>
        <v>1.21</v>
      </c>
      <c r="J460" s="43">
        <f>ROUND(H460*I460, 2)</f>
        <v>578.28</v>
      </c>
      <c r="K460" s="42"/>
      <c r="L460" s="43">
        <f>SmtRes!DG169</f>
        <v>106.17</v>
      </c>
    </row>
    <row r="461" spans="1:83" ht="14.25" x14ac:dyDescent="0.2">
      <c r="A461" s="39"/>
      <c r="B461" s="39" t="s">
        <v>383</v>
      </c>
      <c r="C461" s="39" t="s">
        <v>574</v>
      </c>
      <c r="D461" s="40" t="s">
        <v>372</v>
      </c>
      <c r="E461" s="41">
        <f>SmtRes!DO169*SmtRes!AT169</f>
        <v>0.17</v>
      </c>
      <c r="F461" s="41"/>
      <c r="G461" s="41">
        <f>SmtRes!DO169*SmtRes!CX169</f>
        <v>0.18360000000000001</v>
      </c>
      <c r="H461" s="43"/>
      <c r="I461" s="42"/>
      <c r="J461" s="43">
        <f>ROUND(SmtRes!AG169/SmtRes!DO169, 2)</f>
        <v>490.55</v>
      </c>
      <c r="K461" s="42"/>
      <c r="L461" s="43">
        <f>SmtRes!DH169</f>
        <v>90.06</v>
      </c>
      <c r="CE461">
        <v>1</v>
      </c>
    </row>
    <row r="462" spans="1:83" ht="28.5" x14ac:dyDescent="0.2">
      <c r="A462" s="39"/>
      <c r="B462" s="39" t="s">
        <v>435</v>
      </c>
      <c r="C462" s="39" t="s">
        <v>437</v>
      </c>
      <c r="D462" s="40" t="s">
        <v>378</v>
      </c>
      <c r="E462" s="41">
        <v>2.9</v>
      </c>
      <c r="F462" s="41"/>
      <c r="G462" s="41">
        <f>SmtRes!CX170</f>
        <v>3.1320000000000001</v>
      </c>
      <c r="H462" s="43"/>
      <c r="I462" s="42"/>
      <c r="J462" s="43">
        <f>SmtRes!CZ170</f>
        <v>26.32</v>
      </c>
      <c r="K462" s="42"/>
      <c r="L462" s="43">
        <f>SmtRes!DG170</f>
        <v>82.43</v>
      </c>
    </row>
    <row r="463" spans="1:83" ht="15" x14ac:dyDescent="0.2">
      <c r="A463" s="38"/>
      <c r="B463" s="41">
        <v>4</v>
      </c>
      <c r="C463" s="38" t="s">
        <v>591</v>
      </c>
      <c r="D463" s="40"/>
      <c r="E463" s="44"/>
      <c r="F463" s="41"/>
      <c r="G463" s="44"/>
      <c r="H463" s="41"/>
      <c r="I463" s="41"/>
      <c r="J463" s="41"/>
      <c r="K463" s="41"/>
      <c r="L463" s="45">
        <f>SUM(L464:L466)-SUMIF(CE464:CE466, 1, L464:L466)</f>
        <v>3314.18</v>
      </c>
    </row>
    <row r="464" spans="1:83" ht="42.75" x14ac:dyDescent="0.2">
      <c r="A464" s="39"/>
      <c r="B464" s="39" t="s">
        <v>438</v>
      </c>
      <c r="C464" s="39" t="s">
        <v>440</v>
      </c>
      <c r="D464" s="40" t="s">
        <v>253</v>
      </c>
      <c r="E464" s="41">
        <v>0.9</v>
      </c>
      <c r="F464" s="41"/>
      <c r="G464" s="41">
        <f>SmtRes!CX171</f>
        <v>0.97199999999999998</v>
      </c>
      <c r="H464" s="43">
        <f>SmtRes!CZ171</f>
        <v>155.63</v>
      </c>
      <c r="I464" s="42">
        <f>SmtRes!AI171</f>
        <v>0.95</v>
      </c>
      <c r="J464" s="43">
        <f>ROUND(H464*I464, 2)</f>
        <v>147.85</v>
      </c>
      <c r="K464" s="42"/>
      <c r="L464" s="43">
        <f>SmtRes!DF171</f>
        <v>143.71</v>
      </c>
    </row>
    <row r="465" spans="1:82" ht="42.75" x14ac:dyDescent="0.2">
      <c r="A465" s="39"/>
      <c r="B465" s="39" t="s">
        <v>444</v>
      </c>
      <c r="C465" s="39" t="s">
        <v>446</v>
      </c>
      <c r="D465" s="40" t="s">
        <v>244</v>
      </c>
      <c r="E465" s="41">
        <v>4.0000000000000001E-3</v>
      </c>
      <c r="F465" s="41"/>
      <c r="G465" s="41">
        <f>SmtRes!CX172</f>
        <v>4.3200000000000001E-3</v>
      </c>
      <c r="H465" s="43">
        <f>SmtRes!CZ172</f>
        <v>71131.5</v>
      </c>
      <c r="I465" s="42">
        <f>SmtRes!AI172</f>
        <v>0.86</v>
      </c>
      <c r="J465" s="43">
        <f>ROUND(H465*I465, 2)</f>
        <v>61173.09</v>
      </c>
      <c r="K465" s="42"/>
      <c r="L465" s="43">
        <f>SmtRes!DF172</f>
        <v>264.27</v>
      </c>
    </row>
    <row r="466" spans="1:82" ht="42.75" x14ac:dyDescent="0.2">
      <c r="A466" s="39"/>
      <c r="B466" s="39" t="s">
        <v>441</v>
      </c>
      <c r="C466" s="46" t="s">
        <v>443</v>
      </c>
      <c r="D466" s="47" t="s">
        <v>253</v>
      </c>
      <c r="E466" s="48">
        <v>2.4</v>
      </c>
      <c r="F466" s="48"/>
      <c r="G466" s="48">
        <f>SmtRes!CX173</f>
        <v>2.5920000000000001</v>
      </c>
      <c r="H466" s="49">
        <f>SmtRes!CZ173</f>
        <v>911.56</v>
      </c>
      <c r="I466" s="50">
        <f>SmtRes!AI173</f>
        <v>1.23</v>
      </c>
      <c r="J466" s="49">
        <f>ROUND(H466*I466, 2)</f>
        <v>1121.22</v>
      </c>
      <c r="K466" s="50"/>
      <c r="L466" s="49">
        <f>SmtRes!DF173</f>
        <v>2906.2</v>
      </c>
    </row>
    <row r="467" spans="1:82" ht="15" x14ac:dyDescent="0.2">
      <c r="A467" s="39"/>
      <c r="B467" s="39"/>
      <c r="C467" s="53" t="s">
        <v>576</v>
      </c>
      <c r="D467" s="40"/>
      <c r="E467" s="41"/>
      <c r="F467" s="41"/>
      <c r="G467" s="41"/>
      <c r="H467" s="43"/>
      <c r="I467" s="42"/>
      <c r="J467" s="43"/>
      <c r="K467" s="42"/>
      <c r="L467" s="43">
        <f>L454+L456+L457+L463</f>
        <v>13580.230000000001</v>
      </c>
    </row>
    <row r="468" spans="1:82" ht="14.25" x14ac:dyDescent="0.2">
      <c r="A468" s="39"/>
      <c r="B468" s="39"/>
      <c r="C468" s="39" t="s">
        <v>577</v>
      </c>
      <c r="D468" s="40"/>
      <c r="E468" s="41"/>
      <c r="F468" s="41"/>
      <c r="G468" s="41"/>
      <c r="H468" s="43"/>
      <c r="I468" s="42"/>
      <c r="J468" s="43"/>
      <c r="K468" s="42"/>
      <c r="L468" s="43">
        <f>SUM(AR452:AR471)+SUM(AS452:AS471)+SUM(AT452:AT471)+SUM(AU452:AU471)+SUM(AV452:AV471)</f>
        <v>9792.6500000000015</v>
      </c>
    </row>
    <row r="469" spans="1:82" ht="28.5" x14ac:dyDescent="0.2">
      <c r="A469" s="39"/>
      <c r="B469" s="39" t="s">
        <v>117</v>
      </c>
      <c r="C469" s="39" t="s">
        <v>592</v>
      </c>
      <c r="D469" s="40" t="s">
        <v>408</v>
      </c>
      <c r="E469" s="41">
        <f>Source!BZ118</f>
        <v>97</v>
      </c>
      <c r="F469" s="41"/>
      <c r="G469" s="41">
        <f>Source!AT118</f>
        <v>97</v>
      </c>
      <c r="H469" s="43"/>
      <c r="I469" s="42"/>
      <c r="J469" s="43"/>
      <c r="K469" s="42"/>
      <c r="L469" s="43">
        <f>SUM(AZ452:AZ471)</f>
        <v>9498.8700000000008</v>
      </c>
    </row>
    <row r="470" spans="1:82" ht="28.5" x14ac:dyDescent="0.2">
      <c r="A470" s="46"/>
      <c r="B470" s="46" t="s">
        <v>118</v>
      </c>
      <c r="C470" s="46" t="s">
        <v>593</v>
      </c>
      <c r="D470" s="47" t="s">
        <v>408</v>
      </c>
      <c r="E470" s="48">
        <f>Source!CA118</f>
        <v>51</v>
      </c>
      <c r="F470" s="48"/>
      <c r="G470" s="48">
        <f>Source!AU118</f>
        <v>51</v>
      </c>
      <c r="H470" s="49"/>
      <c r="I470" s="50"/>
      <c r="J470" s="49"/>
      <c r="K470" s="50"/>
      <c r="L470" s="49">
        <f>SUM(BA452:BA471)</f>
        <v>4994.25</v>
      </c>
    </row>
    <row r="471" spans="1:82" ht="15" x14ac:dyDescent="0.2">
      <c r="C471" s="104" t="s">
        <v>580</v>
      </c>
      <c r="D471" s="104"/>
      <c r="E471" s="104"/>
      <c r="F471" s="104"/>
      <c r="G471" s="104"/>
      <c r="H471" s="104"/>
      <c r="I471" s="105">
        <f>K471/E452</f>
        <v>25993.842592592591</v>
      </c>
      <c r="J471" s="105"/>
      <c r="K471" s="105">
        <f>L454+L456+L463+L469+L470+L457</f>
        <v>28073.350000000002</v>
      </c>
      <c r="L471" s="105"/>
      <c r="AD471">
        <f>ROUND((Source!AT118/100)*((ROUND(SUMIF(SmtRes!AQ166:'SmtRes'!AQ174,"=1",SmtRes!AD166:'SmtRes'!AD174)*Source!I118, 2)+ROUND(SUMIF(SmtRes!AQ166:'SmtRes'!AQ174,"=1",SmtRes!AC166:'SmtRes'!AC174)*Source!I118, 2))), 2)</f>
        <v>1706.59</v>
      </c>
      <c r="AE471">
        <f>ROUND((Source!AU118/100)*((ROUND(SUMIF(SmtRes!AQ166:'SmtRes'!AQ174,"=1",SmtRes!AD166:'SmtRes'!AD174)*Source!I118, 2)+ROUND(SUMIF(SmtRes!AQ166:'SmtRes'!AQ174,"=1",SmtRes!AC166:'SmtRes'!AC174)*Source!I118, 2))), 2)</f>
        <v>897.28</v>
      </c>
      <c r="AN471" s="51">
        <f>L454+L456+L463+L469+L470+L457</f>
        <v>28073.350000000002</v>
      </c>
      <c r="AO471" s="51">
        <f>L456</f>
        <v>473.4</v>
      </c>
      <c r="AQ471" t="s">
        <v>581</v>
      </c>
      <c r="AR471" s="51">
        <f>L454</f>
        <v>9581.61</v>
      </c>
      <c r="AT471" s="51">
        <f>L457</f>
        <v>211.04000000000002</v>
      </c>
      <c r="AV471" t="s">
        <v>581</v>
      </c>
      <c r="AW471" s="51">
        <f>L463</f>
        <v>3314.18</v>
      </c>
      <c r="AZ471">
        <f>Source!X118</f>
        <v>9498.8700000000008</v>
      </c>
      <c r="BA471">
        <f>Source!Y118</f>
        <v>4994.25</v>
      </c>
      <c r="CD471">
        <v>2</v>
      </c>
    </row>
    <row r="473" spans="1:82" ht="15" x14ac:dyDescent="0.2">
      <c r="A473" s="61"/>
      <c r="B473" s="62"/>
      <c r="C473" s="123" t="s">
        <v>598</v>
      </c>
      <c r="D473" s="123"/>
      <c r="E473" s="123"/>
      <c r="F473" s="123"/>
      <c r="G473" s="123"/>
      <c r="H473" s="123"/>
      <c r="I473" s="45"/>
      <c r="J473" s="61"/>
      <c r="K473" s="63"/>
      <c r="L473" s="45">
        <f>L475+L476+L482+L486</f>
        <v>423775.57999999996</v>
      </c>
    </row>
    <row r="474" spans="1:82" ht="14.25" x14ac:dyDescent="0.2">
      <c r="A474" s="54"/>
      <c r="B474" s="60"/>
      <c r="C474" s="122" t="s">
        <v>599</v>
      </c>
      <c r="D474" s="121"/>
      <c r="E474" s="121"/>
      <c r="F474" s="121"/>
      <c r="G474" s="121"/>
      <c r="H474" s="121"/>
      <c r="I474" s="43"/>
      <c r="J474" s="54"/>
      <c r="K474" s="41"/>
      <c r="L474" s="43"/>
    </row>
    <row r="475" spans="1:82" ht="14.25" x14ac:dyDescent="0.2">
      <c r="A475" s="54"/>
      <c r="B475" s="60"/>
      <c r="C475" s="121" t="s">
        <v>600</v>
      </c>
      <c r="D475" s="121"/>
      <c r="E475" s="121"/>
      <c r="F475" s="121"/>
      <c r="G475" s="121"/>
      <c r="H475" s="121"/>
      <c r="I475" s="43"/>
      <c r="J475" s="54"/>
      <c r="K475" s="41"/>
      <c r="L475" s="43">
        <f>SUM(AR264:AR471)</f>
        <v>200268.63</v>
      </c>
    </row>
    <row r="476" spans="1:82" ht="14.25" hidden="1" x14ac:dyDescent="0.2">
      <c r="A476" s="54"/>
      <c r="B476" s="60"/>
      <c r="C476" s="121" t="s">
        <v>601</v>
      </c>
      <c r="D476" s="121"/>
      <c r="E476" s="121"/>
      <c r="F476" s="121"/>
      <c r="G476" s="121"/>
      <c r="H476" s="121"/>
      <c r="I476" s="43"/>
      <c r="J476" s="54"/>
      <c r="K476" s="41"/>
      <c r="L476" s="43">
        <f>L478+L481+L480</f>
        <v>206068.77999999997</v>
      </c>
    </row>
    <row r="477" spans="1:82" ht="14.25" hidden="1" x14ac:dyDescent="0.2">
      <c r="A477" s="54"/>
      <c r="B477" s="60"/>
      <c r="C477" s="122" t="s">
        <v>602</v>
      </c>
      <c r="D477" s="121"/>
      <c r="E477" s="121"/>
      <c r="F477" s="121"/>
      <c r="G477" s="121"/>
      <c r="H477" s="121"/>
      <c r="I477" s="43"/>
      <c r="J477" s="54"/>
      <c r="K477" s="41"/>
      <c r="L477" s="43"/>
    </row>
    <row r="478" spans="1:82" ht="14.25" x14ac:dyDescent="0.2">
      <c r="A478" s="54"/>
      <c r="B478" s="60"/>
      <c r="C478" s="121" t="s">
        <v>601</v>
      </c>
      <c r="D478" s="121"/>
      <c r="E478" s="121"/>
      <c r="F478" s="121"/>
      <c r="G478" s="121"/>
      <c r="H478" s="121"/>
      <c r="I478" s="43"/>
      <c r="J478" s="54"/>
      <c r="K478" s="41"/>
      <c r="L478" s="43">
        <f>SUM(AO264:AO471)</f>
        <v>147299.60999999999</v>
      </c>
    </row>
    <row r="479" spans="1:82" ht="14.25" hidden="1" x14ac:dyDescent="0.2">
      <c r="A479" s="54"/>
      <c r="B479" s="60"/>
      <c r="C479" s="122" t="s">
        <v>603</v>
      </c>
      <c r="D479" s="121"/>
      <c r="E479" s="121"/>
      <c r="F479" s="121"/>
      <c r="G479" s="121"/>
      <c r="H479" s="121"/>
      <c r="I479" s="43"/>
      <c r="J479" s="54"/>
      <c r="K479" s="41"/>
      <c r="L479" s="43"/>
    </row>
    <row r="480" spans="1:82" ht="14.25" x14ac:dyDescent="0.2">
      <c r="A480" s="54"/>
      <c r="B480" s="60"/>
      <c r="C480" s="121" t="s">
        <v>623</v>
      </c>
      <c r="D480" s="121"/>
      <c r="E480" s="121"/>
      <c r="F480" s="121"/>
      <c r="G480" s="121"/>
      <c r="H480" s="121"/>
      <c r="I480" s="43"/>
      <c r="J480" s="54"/>
      <c r="K480" s="41"/>
      <c r="L480" s="43">
        <f>SUM(AT264:AT471)</f>
        <v>58769.17</v>
      </c>
    </row>
    <row r="481" spans="1:12" ht="14.25" hidden="1" x14ac:dyDescent="0.2">
      <c r="A481" s="54"/>
      <c r="B481" s="60"/>
      <c r="C481" s="121" t="s">
        <v>604</v>
      </c>
      <c r="D481" s="121"/>
      <c r="E481" s="121"/>
      <c r="F481" s="121"/>
      <c r="G481" s="121"/>
      <c r="H481" s="121"/>
      <c r="I481" s="43"/>
      <c r="J481" s="54"/>
      <c r="K481" s="41"/>
      <c r="L481" s="43">
        <f>SUM(AV264:AV471)</f>
        <v>0</v>
      </c>
    </row>
    <row r="482" spans="1:12" ht="14.25" x14ac:dyDescent="0.2">
      <c r="A482" s="54"/>
      <c r="B482" s="60"/>
      <c r="C482" s="121" t="s">
        <v>605</v>
      </c>
      <c r="D482" s="121"/>
      <c r="E482" s="121"/>
      <c r="F482" s="121"/>
      <c r="G482" s="121"/>
      <c r="H482" s="121"/>
      <c r="I482" s="43"/>
      <c r="J482" s="54"/>
      <c r="K482" s="41"/>
      <c r="L482" s="43">
        <f>L484+L485</f>
        <v>17438.170000000002</v>
      </c>
    </row>
    <row r="483" spans="1:12" ht="14.25" x14ac:dyDescent="0.2">
      <c r="A483" s="54"/>
      <c r="B483" s="60"/>
      <c r="C483" s="122" t="s">
        <v>602</v>
      </c>
      <c r="D483" s="121"/>
      <c r="E483" s="121"/>
      <c r="F483" s="121"/>
      <c r="G483" s="121"/>
      <c r="H483" s="121"/>
      <c r="I483" s="43"/>
      <c r="J483" s="54"/>
      <c r="K483" s="41"/>
      <c r="L483" s="43"/>
    </row>
    <row r="484" spans="1:12" ht="14.25" x14ac:dyDescent="0.2">
      <c r="A484" s="54"/>
      <c r="B484" s="60"/>
      <c r="C484" s="121" t="s">
        <v>606</v>
      </c>
      <c r="D484" s="121"/>
      <c r="E484" s="121"/>
      <c r="F484" s="121"/>
      <c r="G484" s="121"/>
      <c r="H484" s="121"/>
      <c r="I484" s="43"/>
      <c r="J484" s="54"/>
      <c r="K484" s="41"/>
      <c r="L484" s="43">
        <f>SUM(AW264:AW471)-SUM(BK264:BK471)</f>
        <v>17438.170000000002</v>
      </c>
    </row>
    <row r="485" spans="1:12" ht="14.25" hidden="1" x14ac:dyDescent="0.2">
      <c r="A485" s="54"/>
      <c r="B485" s="60"/>
      <c r="C485" s="121" t="s">
        <v>607</v>
      </c>
      <c r="D485" s="121"/>
      <c r="E485" s="121"/>
      <c r="F485" s="121"/>
      <c r="G485" s="121"/>
      <c r="H485" s="121"/>
      <c r="I485" s="43"/>
      <c r="J485" s="54"/>
      <c r="K485" s="41"/>
      <c r="L485" s="43">
        <f>SUM(BC264:BC471)</f>
        <v>0</v>
      </c>
    </row>
    <row r="486" spans="1:12" ht="14.25" hidden="1" x14ac:dyDescent="0.2">
      <c r="A486" s="54"/>
      <c r="B486" s="60"/>
      <c r="C486" s="121" t="s">
        <v>608</v>
      </c>
      <c r="D486" s="121"/>
      <c r="E486" s="121"/>
      <c r="F486" s="121"/>
      <c r="G486" s="121"/>
      <c r="H486" s="121"/>
      <c r="I486" s="43"/>
      <c r="J486" s="54"/>
      <c r="K486" s="41"/>
      <c r="L486" s="43">
        <f>SUM(BB264:BB471)</f>
        <v>0</v>
      </c>
    </row>
    <row r="487" spans="1:12" ht="14.25" x14ac:dyDescent="0.2">
      <c r="A487" s="54"/>
      <c r="B487" s="60"/>
      <c r="C487" s="121" t="s">
        <v>609</v>
      </c>
      <c r="D487" s="121"/>
      <c r="E487" s="121"/>
      <c r="F487" s="121"/>
      <c r="G487" s="121"/>
      <c r="H487" s="121"/>
      <c r="I487" s="43"/>
      <c r="J487" s="54"/>
      <c r="K487" s="41"/>
      <c r="L487" s="43">
        <f>SUM(AR264:AR471)+SUM(AT264:AT471)+SUM(AV264:AV471)</f>
        <v>259037.8</v>
      </c>
    </row>
    <row r="488" spans="1:12" ht="14.25" x14ac:dyDescent="0.2">
      <c r="A488" s="54"/>
      <c r="B488" s="60"/>
      <c r="C488" s="121" t="s">
        <v>610</v>
      </c>
      <c r="D488" s="121"/>
      <c r="E488" s="121"/>
      <c r="F488" s="121"/>
      <c r="G488" s="121"/>
      <c r="H488" s="121"/>
      <c r="I488" s="43"/>
      <c r="J488" s="54"/>
      <c r="K488" s="41"/>
      <c r="L488" s="43">
        <f>SUM(AZ264:AZ471)</f>
        <v>262185.52999999997</v>
      </c>
    </row>
    <row r="489" spans="1:12" ht="14.25" x14ac:dyDescent="0.2">
      <c r="A489" s="54"/>
      <c r="B489" s="60"/>
      <c r="C489" s="121" t="s">
        <v>611</v>
      </c>
      <c r="D489" s="121"/>
      <c r="E489" s="121"/>
      <c r="F489" s="121"/>
      <c r="G489" s="121"/>
      <c r="H489" s="121"/>
      <c r="I489" s="43"/>
      <c r="J489" s="54"/>
      <c r="K489" s="41"/>
      <c r="L489" s="43">
        <f>SUM(BA264:BA471)</f>
        <v>148487.54999999999</v>
      </c>
    </row>
    <row r="490" spans="1:12" ht="14.25" hidden="1" x14ac:dyDescent="0.2">
      <c r="A490" s="54"/>
      <c r="B490" s="60"/>
      <c r="C490" s="121" t="s">
        <v>612</v>
      </c>
      <c r="D490" s="121"/>
      <c r="E490" s="121"/>
      <c r="F490" s="121"/>
      <c r="G490" s="121"/>
      <c r="H490" s="121"/>
      <c r="I490" s="43"/>
      <c r="J490" s="54"/>
      <c r="K490" s="41"/>
      <c r="L490" s="43">
        <f>L492+L493</f>
        <v>0</v>
      </c>
    </row>
    <row r="491" spans="1:12" ht="14.25" hidden="1" x14ac:dyDescent="0.2">
      <c r="A491" s="54"/>
      <c r="B491" s="60"/>
      <c r="C491" s="122" t="s">
        <v>599</v>
      </c>
      <c r="D491" s="121"/>
      <c r="E491" s="121"/>
      <c r="F491" s="121"/>
      <c r="G491" s="121"/>
      <c r="H491" s="121"/>
      <c r="I491" s="43"/>
      <c r="J491" s="54"/>
      <c r="K491" s="41"/>
      <c r="L491" s="43"/>
    </row>
    <row r="492" spans="1:12" ht="14.25" hidden="1" x14ac:dyDescent="0.2">
      <c r="A492" s="54"/>
      <c r="B492" s="60"/>
      <c r="C492" s="121" t="s">
        <v>613</v>
      </c>
      <c r="D492" s="121"/>
      <c r="E492" s="121"/>
      <c r="F492" s="121"/>
      <c r="G492" s="121"/>
      <c r="H492" s="121"/>
      <c r="I492" s="43"/>
      <c r="J492" s="54"/>
      <c r="K492" s="41"/>
      <c r="L492" s="43">
        <f>SUM(BK264:BK471)</f>
        <v>0</v>
      </c>
    </row>
    <row r="493" spans="1:12" ht="14.25" hidden="1" x14ac:dyDescent="0.2">
      <c r="A493" s="54"/>
      <c r="B493" s="60"/>
      <c r="C493" s="121" t="s">
        <v>614</v>
      </c>
      <c r="D493" s="121"/>
      <c r="E493" s="121"/>
      <c r="F493" s="121"/>
      <c r="G493" s="121"/>
      <c r="H493" s="121"/>
      <c r="I493" s="43"/>
      <c r="J493" s="54"/>
      <c r="K493" s="41"/>
      <c r="L493" s="43">
        <f>SUM(BD264:BD471)</f>
        <v>0</v>
      </c>
    </row>
    <row r="494" spans="1:12" ht="14.25" hidden="1" x14ac:dyDescent="0.2">
      <c r="A494" s="54"/>
      <c r="B494" s="60"/>
      <c r="C494" s="121" t="s">
        <v>615</v>
      </c>
      <c r="D494" s="121"/>
      <c r="E494" s="121"/>
      <c r="F494" s="121"/>
      <c r="G494" s="121"/>
      <c r="H494" s="121"/>
      <c r="I494" s="43"/>
      <c r="J494" s="54"/>
      <c r="K494" s="41"/>
      <c r="L494" s="43"/>
    </row>
    <row r="495" spans="1:12" ht="14.25" hidden="1" x14ac:dyDescent="0.2">
      <c r="A495" s="54"/>
      <c r="B495" s="60"/>
      <c r="C495" s="121" t="s">
        <v>616</v>
      </c>
      <c r="D495" s="121"/>
      <c r="E495" s="121"/>
      <c r="F495" s="121"/>
      <c r="G495" s="121"/>
      <c r="H495" s="121"/>
      <c r="I495" s="43"/>
      <c r="J495" s="54"/>
      <c r="K495" s="41"/>
      <c r="L495" s="43">
        <f>SUM(BO264:BO471)</f>
        <v>0</v>
      </c>
    </row>
    <row r="496" spans="1:12" ht="15" x14ac:dyDescent="0.2">
      <c r="A496" s="61"/>
      <c r="B496" s="62"/>
      <c r="C496" s="123" t="s">
        <v>617</v>
      </c>
      <c r="D496" s="123"/>
      <c r="E496" s="123"/>
      <c r="F496" s="123"/>
      <c r="G496" s="123"/>
      <c r="H496" s="123"/>
      <c r="I496" s="45"/>
      <c r="J496" s="61"/>
      <c r="K496" s="63"/>
      <c r="L496" s="45">
        <f>L473+L488+L489+L490+L494+L495</f>
        <v>834448.65999999992</v>
      </c>
    </row>
    <row r="497" spans="1:82" ht="14.25" x14ac:dyDescent="0.2">
      <c r="A497" s="54"/>
      <c r="B497" s="60"/>
      <c r="C497" s="122" t="s">
        <v>618</v>
      </c>
      <c r="D497" s="121"/>
      <c r="E497" s="121"/>
      <c r="F497" s="121"/>
      <c r="G497" s="121"/>
      <c r="H497" s="121"/>
      <c r="I497" s="43"/>
      <c r="J497" s="54"/>
      <c r="K497" s="41"/>
      <c r="L497" s="43"/>
    </row>
    <row r="498" spans="1:82" ht="14.25" hidden="1" x14ac:dyDescent="0.2">
      <c r="A498" s="54"/>
      <c r="B498" s="60"/>
      <c r="C498" s="121" t="s">
        <v>619</v>
      </c>
      <c r="D498" s="121"/>
      <c r="E498" s="121"/>
      <c r="F498" s="121"/>
      <c r="G498" s="121"/>
      <c r="H498" s="121"/>
      <c r="I498" s="43"/>
      <c r="J498" s="54"/>
      <c r="K498" s="41"/>
      <c r="L498" s="43">
        <f>SUM(AX264:AX471)</f>
        <v>0</v>
      </c>
    </row>
    <row r="499" spans="1:82" ht="14.25" hidden="1" x14ac:dyDescent="0.2">
      <c r="A499" s="54"/>
      <c r="B499" s="60"/>
      <c r="C499" s="121" t="s">
        <v>620</v>
      </c>
      <c r="D499" s="121"/>
      <c r="E499" s="121"/>
      <c r="F499" s="121"/>
      <c r="G499" s="121"/>
      <c r="H499" s="121"/>
      <c r="I499" s="43"/>
      <c r="J499" s="54"/>
      <c r="K499" s="41"/>
      <c r="L499" s="43">
        <f>SUM(AY264:AY471)</f>
        <v>0</v>
      </c>
    </row>
    <row r="500" spans="1:82" ht="14.25" x14ac:dyDescent="0.2">
      <c r="A500" s="54"/>
      <c r="B500" s="60"/>
      <c r="C500" s="121" t="s">
        <v>621</v>
      </c>
      <c r="D500" s="121"/>
      <c r="E500" s="121"/>
      <c r="F500" s="124"/>
      <c r="G500" s="44">
        <f>Source!F142</f>
        <v>427.42200000000003</v>
      </c>
      <c r="H500" s="54"/>
      <c r="I500" s="54"/>
      <c r="J500" s="54"/>
      <c r="K500" s="54"/>
      <c r="L500" s="54"/>
    </row>
    <row r="501" spans="1:82" ht="14.25" x14ac:dyDescent="0.2">
      <c r="A501" s="54"/>
      <c r="B501" s="60"/>
      <c r="C501" s="121" t="s">
        <v>622</v>
      </c>
      <c r="D501" s="121"/>
      <c r="E501" s="121"/>
      <c r="F501" s="124"/>
      <c r="G501" s="44">
        <f>Source!F143</f>
        <v>107.2787</v>
      </c>
      <c r="H501" s="54"/>
      <c r="I501" s="54"/>
      <c r="J501" s="54"/>
      <c r="K501" s="54"/>
      <c r="L501" s="54"/>
    </row>
    <row r="504" spans="1:82" ht="16.5" x14ac:dyDescent="0.2">
      <c r="A504" s="103" t="s">
        <v>632</v>
      </c>
      <c r="B504" s="103"/>
      <c r="C504" s="103"/>
      <c r="D504" s="103"/>
      <c r="E504" s="103"/>
      <c r="F504" s="103"/>
      <c r="G504" s="103"/>
      <c r="H504" s="103"/>
      <c r="I504" s="103"/>
      <c r="J504" s="103"/>
      <c r="K504" s="103"/>
      <c r="L504" s="103"/>
    </row>
    <row r="505" spans="1:82" ht="14.25" x14ac:dyDescent="0.2">
      <c r="A505" s="64" t="s">
        <v>177</v>
      </c>
      <c r="B505" s="46" t="str">
        <f>Source!F154</f>
        <v>05.1.02.07-0070</v>
      </c>
      <c r="C505" s="46" t="str">
        <f>Source!G154</f>
        <v>Стойки опор железобетонные, СВ-95 (44шт)</v>
      </c>
      <c r="D505" s="47" t="str">
        <f>Source!H154</f>
        <v>м3</v>
      </c>
      <c r="E505" s="48">
        <f>Source!K154</f>
        <v>13.2</v>
      </c>
      <c r="F505" s="48"/>
      <c r="G505" s="48">
        <f>Source!I154</f>
        <v>13.2</v>
      </c>
      <c r="H505" s="49">
        <f>Source!AL154</f>
        <v>26011.96</v>
      </c>
      <c r="I505" s="50">
        <f>IF(Source!BC154&lt;&gt; 0, Source!BC154, 1)</f>
        <v>0.97</v>
      </c>
      <c r="J505" s="49">
        <f>ROUND(H505*I505, 2)</f>
        <v>25231.599999999999</v>
      </c>
      <c r="K505" s="50"/>
      <c r="L505" s="49">
        <f>Source!P154</f>
        <v>333057.12</v>
      </c>
    </row>
    <row r="506" spans="1:82" ht="15" x14ac:dyDescent="0.2">
      <c r="C506" s="104" t="s">
        <v>580</v>
      </c>
      <c r="D506" s="104"/>
      <c r="E506" s="104"/>
      <c r="F506" s="104"/>
      <c r="G506" s="104"/>
      <c r="H506" s="104"/>
      <c r="I506" s="105">
        <f>K506/E505</f>
        <v>25231.600000000002</v>
      </c>
      <c r="J506" s="105"/>
      <c r="K506" s="105">
        <f>L505</f>
        <v>333057.12</v>
      </c>
      <c r="L506" s="105"/>
      <c r="AD506">
        <f>ROUND((Source!AT154/100)*((ROUND(ROUND(Source!AO154,2)*Source!I154, 2)+ROUND(ROUND(Source!AN154,2)*Source!I154, 2))), 2)</f>
        <v>0</v>
      </c>
      <c r="AE506">
        <f>ROUND((Source!AU154/100)*((ROUND(ROUND(Source!AO154,2)*Source!I154, 2)+ROUND(ROUND(Source!AN154,2)*Source!I154, 2))), 2)</f>
        <v>0</v>
      </c>
      <c r="AN506" s="51">
        <f>L505</f>
        <v>333057.12</v>
      </c>
      <c r="AO506">
        <f>0</f>
        <v>0</v>
      </c>
      <c r="AQ506" t="s">
        <v>581</v>
      </c>
      <c r="AR506">
        <f>0</f>
        <v>0</v>
      </c>
      <c r="AT506">
        <f>0</f>
        <v>0</v>
      </c>
      <c r="AV506" t="s">
        <v>581</v>
      </c>
      <c r="AW506" s="51">
        <f>L505</f>
        <v>333057.12</v>
      </c>
      <c r="AZ506">
        <f>Source!X154</f>
        <v>0</v>
      </c>
      <c r="BA506">
        <f>Source!Y154</f>
        <v>0</v>
      </c>
      <c r="CD506">
        <v>1</v>
      </c>
    </row>
    <row r="507" spans="1:82" ht="28.5" x14ac:dyDescent="0.2">
      <c r="A507" s="37" t="s">
        <v>185</v>
      </c>
      <c r="B507" s="39" t="str">
        <f>Source!F155</f>
        <v>21.2.01.01-0038</v>
      </c>
      <c r="C507" s="39" t="str">
        <f>Source!G155</f>
        <v>Провод самонесущий изолированный СИП-2 3х95+1х95-0,6/1</v>
      </c>
      <c r="D507" s="40" t="str">
        <f>Source!H155</f>
        <v>1000 м</v>
      </c>
      <c r="E507" s="41">
        <f>Source!K155</f>
        <v>0.86699999999999999</v>
      </c>
      <c r="F507" s="41"/>
      <c r="G507" s="41">
        <f>Source!I155</f>
        <v>0.86699999999999999</v>
      </c>
      <c r="H507" s="43">
        <f>Source!AL155</f>
        <v>253564.29</v>
      </c>
      <c r="I507" s="42">
        <f>IF(Source!BC155&lt;&gt; 0, Source!BC155, 1)</f>
        <v>1.38</v>
      </c>
      <c r="J507" s="43">
        <f>ROUND(H507*I507, 2)</f>
        <v>349918.71999999997</v>
      </c>
      <c r="K507" s="42"/>
      <c r="L507" s="43">
        <f>Source!P155</f>
        <v>303379.53000000003</v>
      </c>
    </row>
    <row r="508" spans="1:82" x14ac:dyDescent="0.2">
      <c r="A508" s="65"/>
      <c r="B508" s="65"/>
      <c r="C508" s="91" t="str">
        <f>"Объем: "&amp;Source!I155&amp;"=867/"&amp;"1000"</f>
        <v>Объем: 0,867=867/1000</v>
      </c>
      <c r="D508" s="65"/>
      <c r="E508" s="65"/>
      <c r="F508" s="65"/>
      <c r="G508" s="65"/>
      <c r="H508" s="65"/>
      <c r="I508" s="65"/>
      <c r="J508" s="65"/>
      <c r="K508" s="65"/>
      <c r="L508" s="65"/>
    </row>
    <row r="509" spans="1:82" ht="15" x14ac:dyDescent="0.2">
      <c r="C509" s="104" t="s">
        <v>580</v>
      </c>
      <c r="D509" s="104"/>
      <c r="E509" s="104"/>
      <c r="F509" s="104"/>
      <c r="G509" s="104"/>
      <c r="H509" s="104"/>
      <c r="I509" s="105">
        <f>K509/E507</f>
        <v>349918.71972318343</v>
      </c>
      <c r="J509" s="105"/>
      <c r="K509" s="105">
        <f>L507</f>
        <v>303379.53000000003</v>
      </c>
      <c r="L509" s="105"/>
      <c r="AD509">
        <f>ROUND((Source!AT155/100)*((ROUND(ROUND(Source!AO155,2)*Source!I155, 2)+ROUND(ROUND(Source!AN155,2)*Source!I155, 2))), 2)</f>
        <v>0</v>
      </c>
      <c r="AE509">
        <f>ROUND((Source!AU155/100)*((ROUND(ROUND(Source!AO155,2)*Source!I155, 2)+ROUND(ROUND(Source!AN155,2)*Source!I155, 2))), 2)</f>
        <v>0</v>
      </c>
      <c r="AN509" s="51">
        <f>L507</f>
        <v>303379.53000000003</v>
      </c>
      <c r="AO509">
        <f>0</f>
        <v>0</v>
      </c>
      <c r="AQ509" t="s">
        <v>581</v>
      </c>
      <c r="AR509">
        <f>0</f>
        <v>0</v>
      </c>
      <c r="AT509">
        <f>0</f>
        <v>0</v>
      </c>
      <c r="AV509" t="s">
        <v>581</v>
      </c>
      <c r="AW509" s="51">
        <f>L507</f>
        <v>303379.53000000003</v>
      </c>
      <c r="AZ509">
        <f>Source!X155</f>
        <v>0</v>
      </c>
      <c r="BA509">
        <f>Source!Y155</f>
        <v>0</v>
      </c>
      <c r="CD509">
        <v>2</v>
      </c>
    </row>
    <row r="510" spans="1:82" ht="28.5" x14ac:dyDescent="0.2">
      <c r="A510" s="37" t="s">
        <v>192</v>
      </c>
      <c r="B510" s="39" t="str">
        <f>Source!F156</f>
        <v>21.2.01.01-0065</v>
      </c>
      <c r="C510" s="39" t="str">
        <f>Source!G156</f>
        <v>Провод самонесущий изолированный СИП-4 4х16-0,6/1</v>
      </c>
      <c r="D510" s="40" t="str">
        <f>Source!H156</f>
        <v>1000 м</v>
      </c>
      <c r="E510" s="41">
        <f>Source!K156</f>
        <v>0.10199999999999999</v>
      </c>
      <c r="F510" s="41"/>
      <c r="G510" s="41">
        <f>Source!I156</f>
        <v>0.10199999999999999</v>
      </c>
      <c r="H510" s="43"/>
      <c r="I510" s="42"/>
      <c r="J510" s="43">
        <f>Source!AL156</f>
        <v>70296.72</v>
      </c>
      <c r="K510" s="42"/>
      <c r="L510" s="43">
        <f>Source!P156</f>
        <v>7170.27</v>
      </c>
    </row>
    <row r="511" spans="1:82" x14ac:dyDescent="0.2">
      <c r="A511" s="65"/>
      <c r="B511" s="65"/>
      <c r="C511" s="91" t="str">
        <f>"Объем: "&amp;Source!I156&amp;"=102/"&amp;"1000"</f>
        <v>Объем: 0,102=102/1000</v>
      </c>
      <c r="D511" s="65"/>
      <c r="E511" s="65"/>
      <c r="F511" s="65"/>
      <c r="G511" s="65"/>
      <c r="H511" s="65"/>
      <c r="I511" s="65"/>
      <c r="J511" s="65"/>
      <c r="K511" s="65"/>
      <c r="L511" s="65"/>
    </row>
    <row r="512" spans="1:82" ht="15" x14ac:dyDescent="0.2">
      <c r="C512" s="104" t="s">
        <v>580</v>
      </c>
      <c r="D512" s="104"/>
      <c r="E512" s="104"/>
      <c r="F512" s="104"/>
      <c r="G512" s="104"/>
      <c r="H512" s="104"/>
      <c r="I512" s="105">
        <f>K512/E510</f>
        <v>70296.764705882364</v>
      </c>
      <c r="J512" s="105"/>
      <c r="K512" s="105">
        <f>L510</f>
        <v>7170.27</v>
      </c>
      <c r="L512" s="105"/>
      <c r="AD512">
        <f>ROUND((Source!AT156/100)*((ROUND(ROUND(Source!AO156,2)*Source!I156, 2)+ROUND(ROUND(Source!AN156,2)*Source!I156, 2))), 2)</f>
        <v>0</v>
      </c>
      <c r="AE512">
        <f>ROUND((Source!AU156/100)*((ROUND(ROUND(Source!AO156,2)*Source!I156, 2)+ROUND(ROUND(Source!AN156,2)*Source!I156, 2))), 2)</f>
        <v>0</v>
      </c>
      <c r="AN512" s="51">
        <f>L510</f>
        <v>7170.27</v>
      </c>
      <c r="AO512">
        <f>0</f>
        <v>0</v>
      </c>
      <c r="AQ512" t="s">
        <v>581</v>
      </c>
      <c r="AR512">
        <f>0</f>
        <v>0</v>
      </c>
      <c r="AT512">
        <f>0</f>
        <v>0</v>
      </c>
      <c r="AV512" t="s">
        <v>581</v>
      </c>
      <c r="AW512" s="51">
        <f>L510</f>
        <v>7170.27</v>
      </c>
      <c r="AZ512">
        <f>Source!X156</f>
        <v>0</v>
      </c>
      <c r="BA512">
        <f>Source!Y156</f>
        <v>0</v>
      </c>
      <c r="CD512">
        <v>2</v>
      </c>
    </row>
    <row r="513" spans="1:82" ht="14.25" x14ac:dyDescent="0.2">
      <c r="A513" s="37" t="s">
        <v>196</v>
      </c>
      <c r="B513" s="39" t="str">
        <f>Source!F157</f>
        <v>20.1.01.01-0012</v>
      </c>
      <c r="C513" s="39" t="str">
        <f>Source!G157</f>
        <v>Зажим анкерный (РА 2200) аналог РА2000</v>
      </c>
      <c r="D513" s="40" t="str">
        <f>Source!H157</f>
        <v>100 ШТ</v>
      </c>
      <c r="E513" s="41">
        <f>Source!K157</f>
        <v>0.24</v>
      </c>
      <c r="F513" s="41"/>
      <c r="G513" s="41">
        <f>Source!I157</f>
        <v>0.24</v>
      </c>
      <c r="H513" s="43">
        <f>Source!AL157</f>
        <v>71389.23</v>
      </c>
      <c r="I513" s="42">
        <f>IF(Source!BC157&lt;&gt; 0, Source!BC157, 1)</f>
        <v>1.07</v>
      </c>
      <c r="J513" s="43">
        <f>ROUND(H513*I513, 2)</f>
        <v>76386.48</v>
      </c>
      <c r="K513" s="42"/>
      <c r="L513" s="43">
        <f>Source!P157</f>
        <v>18332.759999999998</v>
      </c>
    </row>
    <row r="514" spans="1:82" x14ac:dyDescent="0.2">
      <c r="A514" s="65"/>
      <c r="B514" s="65"/>
      <c r="C514" s="91" t="str">
        <f>"Объем: "&amp;Source!I157&amp;"=24/"&amp;"100"</f>
        <v>Объем: 0,24=24/100</v>
      </c>
      <c r="D514" s="65"/>
      <c r="E514" s="65"/>
      <c r="F514" s="65"/>
      <c r="G514" s="65"/>
      <c r="H514" s="65"/>
      <c r="I514" s="65"/>
      <c r="J514" s="65"/>
      <c r="K514" s="65"/>
      <c r="L514" s="65"/>
    </row>
    <row r="515" spans="1:82" ht="15" x14ac:dyDescent="0.2">
      <c r="C515" s="104" t="s">
        <v>580</v>
      </c>
      <c r="D515" s="104"/>
      <c r="E515" s="104"/>
      <c r="F515" s="104"/>
      <c r="G515" s="104"/>
      <c r="H515" s="104"/>
      <c r="I515" s="105">
        <f>K515/E513</f>
        <v>76386.5</v>
      </c>
      <c r="J515" s="105"/>
      <c r="K515" s="105">
        <f>L513</f>
        <v>18332.759999999998</v>
      </c>
      <c r="L515" s="105"/>
      <c r="AD515">
        <f>ROUND((Source!AT157/100)*((ROUND(ROUND(Source!AO157,2)*Source!I157, 2)+ROUND(ROUND(Source!AN157,2)*Source!I157, 2))), 2)</f>
        <v>0</v>
      </c>
      <c r="AE515">
        <f>ROUND((Source!AU157/100)*((ROUND(ROUND(Source!AO157,2)*Source!I157, 2)+ROUND(ROUND(Source!AN157,2)*Source!I157, 2))), 2)</f>
        <v>0</v>
      </c>
      <c r="AN515" s="51">
        <f>L513</f>
        <v>18332.759999999998</v>
      </c>
      <c r="AO515">
        <f>0</f>
        <v>0</v>
      </c>
      <c r="AQ515" t="s">
        <v>581</v>
      </c>
      <c r="AR515">
        <f>0</f>
        <v>0</v>
      </c>
      <c r="AT515">
        <f>0</f>
        <v>0</v>
      </c>
      <c r="AV515" t="s">
        <v>581</v>
      </c>
      <c r="AW515" s="51">
        <f>L513</f>
        <v>18332.759999999998</v>
      </c>
      <c r="AZ515">
        <f>Source!X157</f>
        <v>0</v>
      </c>
      <c r="BA515">
        <f>Source!Y157</f>
        <v>0</v>
      </c>
      <c r="CD515">
        <v>2</v>
      </c>
    </row>
    <row r="516" spans="1:82" ht="14.25" x14ac:dyDescent="0.2">
      <c r="A516" s="37" t="s">
        <v>200</v>
      </c>
      <c r="B516" s="39" t="str">
        <f>Source!F158</f>
        <v>20.1.01.01-0002</v>
      </c>
      <c r="C516" s="39" t="str">
        <f>Source!G158</f>
        <v>Зажим анкерный РА 25 (аналог DN123)</v>
      </c>
      <c r="D516" s="40" t="str">
        <f>Source!H158</f>
        <v>100 ШТ</v>
      </c>
      <c r="E516" s="41">
        <f>Source!K158</f>
        <v>0.2</v>
      </c>
      <c r="F516" s="41"/>
      <c r="G516" s="41">
        <f>Source!I158</f>
        <v>0.2</v>
      </c>
      <c r="H516" s="43">
        <f>Source!AL158</f>
        <v>7760.73</v>
      </c>
      <c r="I516" s="42">
        <f>IF(Source!BC158&lt;&gt; 0, Source!BC158, 1)</f>
        <v>1.07</v>
      </c>
      <c r="J516" s="43">
        <f>ROUND(H516*I516, 2)</f>
        <v>8303.98</v>
      </c>
      <c r="K516" s="42"/>
      <c r="L516" s="43">
        <f>Source!P158</f>
        <v>1660.8</v>
      </c>
    </row>
    <row r="517" spans="1:82" x14ac:dyDescent="0.2">
      <c r="A517" s="65"/>
      <c r="B517" s="65"/>
      <c r="C517" s="91" t="str">
        <f>"Объем: "&amp;Source!I158&amp;"=20/"&amp;"100"</f>
        <v>Объем: 0,2=20/100</v>
      </c>
      <c r="D517" s="65"/>
      <c r="E517" s="65"/>
      <c r="F517" s="65"/>
      <c r="G517" s="65"/>
      <c r="H517" s="65"/>
      <c r="I517" s="65"/>
      <c r="J517" s="65"/>
      <c r="K517" s="65"/>
      <c r="L517" s="65"/>
    </row>
    <row r="518" spans="1:82" ht="15" x14ac:dyDescent="0.2">
      <c r="C518" s="104" t="s">
        <v>580</v>
      </c>
      <c r="D518" s="104"/>
      <c r="E518" s="104"/>
      <c r="F518" s="104"/>
      <c r="G518" s="104"/>
      <c r="H518" s="104"/>
      <c r="I518" s="105">
        <f>K518/E516</f>
        <v>8304</v>
      </c>
      <c r="J518" s="105"/>
      <c r="K518" s="105">
        <f>L516</f>
        <v>1660.8</v>
      </c>
      <c r="L518" s="105"/>
      <c r="AD518">
        <f>ROUND((Source!AT158/100)*((ROUND(ROUND(Source!AO158,2)*Source!I158, 2)+ROUND(ROUND(Source!AN158,2)*Source!I158, 2))), 2)</f>
        <v>0</v>
      </c>
      <c r="AE518">
        <f>ROUND((Source!AU158/100)*((ROUND(ROUND(Source!AO158,2)*Source!I158, 2)+ROUND(ROUND(Source!AN158,2)*Source!I158, 2))), 2)</f>
        <v>0</v>
      </c>
      <c r="AN518" s="51">
        <f>L516</f>
        <v>1660.8</v>
      </c>
      <c r="AO518">
        <f>0</f>
        <v>0</v>
      </c>
      <c r="AQ518" t="s">
        <v>581</v>
      </c>
      <c r="AR518">
        <f>0</f>
        <v>0</v>
      </c>
      <c r="AT518">
        <f>0</f>
        <v>0</v>
      </c>
      <c r="AV518" t="s">
        <v>581</v>
      </c>
      <c r="AW518" s="51">
        <f>L516</f>
        <v>1660.8</v>
      </c>
      <c r="AZ518">
        <f>Source!X158</f>
        <v>0</v>
      </c>
      <c r="BA518">
        <f>Source!Y158</f>
        <v>0</v>
      </c>
      <c r="CD518">
        <v>2</v>
      </c>
    </row>
    <row r="519" spans="1:82" ht="28.5" x14ac:dyDescent="0.2">
      <c r="A519" s="64" t="s">
        <v>204</v>
      </c>
      <c r="B519" s="46" t="str">
        <f>Source!F159</f>
        <v>20.1.02.21-0040</v>
      </c>
      <c r="C519" s="46" t="str">
        <f>Source!G159</f>
        <v>Кронштейн для крепления анкерных зажимов, CS 10.3</v>
      </c>
      <c r="D519" s="47" t="str">
        <f>Source!H159</f>
        <v>ШТ</v>
      </c>
      <c r="E519" s="48">
        <f>Source!K159</f>
        <v>24</v>
      </c>
      <c r="F519" s="48"/>
      <c r="G519" s="48">
        <f>Source!I159</f>
        <v>24</v>
      </c>
      <c r="H519" s="49">
        <f>Source!AL159</f>
        <v>243.61</v>
      </c>
      <c r="I519" s="50">
        <f>IF(Source!BC159&lt;&gt; 0, Source!BC159, 1)</f>
        <v>1.1299999999999999</v>
      </c>
      <c r="J519" s="49">
        <f>ROUND(H519*I519, 2)</f>
        <v>275.27999999999997</v>
      </c>
      <c r="K519" s="50"/>
      <c r="L519" s="49">
        <f>Source!P159</f>
        <v>6606.72</v>
      </c>
    </row>
    <row r="520" spans="1:82" ht="15" x14ac:dyDescent="0.2">
      <c r="C520" s="104" t="s">
        <v>580</v>
      </c>
      <c r="D520" s="104"/>
      <c r="E520" s="104"/>
      <c r="F520" s="104"/>
      <c r="G520" s="104"/>
      <c r="H520" s="104"/>
      <c r="I520" s="105">
        <f>K520/E519</f>
        <v>275.28000000000003</v>
      </c>
      <c r="J520" s="105"/>
      <c r="K520" s="105">
        <f>L519</f>
        <v>6606.72</v>
      </c>
      <c r="L520" s="105"/>
      <c r="AD520">
        <f>ROUND((Source!AT159/100)*((ROUND(ROUND(Source!AO159,2)*Source!I159, 2)+ROUND(ROUND(Source!AN159,2)*Source!I159, 2))), 2)</f>
        <v>0</v>
      </c>
      <c r="AE520">
        <f>ROUND((Source!AU159/100)*((ROUND(ROUND(Source!AO159,2)*Source!I159, 2)+ROUND(ROUND(Source!AN159,2)*Source!I159, 2))), 2)</f>
        <v>0</v>
      </c>
      <c r="AN520" s="51">
        <f>L519</f>
        <v>6606.72</v>
      </c>
      <c r="AO520">
        <f>0</f>
        <v>0</v>
      </c>
      <c r="AQ520" t="s">
        <v>581</v>
      </c>
      <c r="AR520">
        <f>0</f>
        <v>0</v>
      </c>
      <c r="AT520">
        <f>0</f>
        <v>0</v>
      </c>
      <c r="AV520" t="s">
        <v>581</v>
      </c>
      <c r="AW520" s="51">
        <f>L519</f>
        <v>6606.72</v>
      </c>
      <c r="AZ520">
        <f>Source!X159</f>
        <v>0</v>
      </c>
      <c r="BA520">
        <f>Source!Y159</f>
        <v>0</v>
      </c>
      <c r="CD520">
        <v>2</v>
      </c>
    </row>
    <row r="521" spans="1:82" ht="14.25" x14ac:dyDescent="0.2">
      <c r="A521" s="37" t="s">
        <v>208</v>
      </c>
      <c r="B521" s="39" t="str">
        <f>Source!F160</f>
        <v>20.1.01.08-0019</v>
      </c>
      <c r="C521" s="39" t="str">
        <f>Source!G160</f>
        <v>Зажимы ответвительные Р 645</v>
      </c>
      <c r="D521" s="40" t="str">
        <f>Source!H160</f>
        <v>100 ШТ</v>
      </c>
      <c r="E521" s="41">
        <f>Source!K160</f>
        <v>0.4</v>
      </c>
      <c r="F521" s="41"/>
      <c r="G521" s="41">
        <f>Source!I160</f>
        <v>0.4</v>
      </c>
      <c r="H521" s="43">
        <f>Source!AL160</f>
        <v>17429.98</v>
      </c>
      <c r="I521" s="42">
        <f>IF(Source!BC160&lt;&gt; 0, Source!BC160, 1)</f>
        <v>1.07</v>
      </c>
      <c r="J521" s="43">
        <f>ROUND(H521*I521, 2)</f>
        <v>18650.080000000002</v>
      </c>
      <c r="K521" s="42"/>
      <c r="L521" s="43">
        <f>Source!P160</f>
        <v>7460.03</v>
      </c>
    </row>
    <row r="522" spans="1:82" x14ac:dyDescent="0.2">
      <c r="A522" s="65"/>
      <c r="B522" s="65"/>
      <c r="C522" s="91" t="str">
        <f>"Объем: "&amp;Source!I160&amp;"=40/"&amp;"100"</f>
        <v>Объем: 0,4=40/100</v>
      </c>
      <c r="D522" s="65"/>
      <c r="E522" s="65"/>
      <c r="F522" s="65"/>
      <c r="G522" s="65"/>
      <c r="H522" s="65"/>
      <c r="I522" s="65"/>
      <c r="J522" s="65"/>
      <c r="K522" s="65"/>
      <c r="L522" s="65"/>
    </row>
    <row r="523" spans="1:82" ht="15" x14ac:dyDescent="0.2">
      <c r="C523" s="104" t="s">
        <v>580</v>
      </c>
      <c r="D523" s="104"/>
      <c r="E523" s="104"/>
      <c r="F523" s="104"/>
      <c r="G523" s="104"/>
      <c r="H523" s="104"/>
      <c r="I523" s="105">
        <f>K523/E521</f>
        <v>18650.074999999997</v>
      </c>
      <c r="J523" s="105"/>
      <c r="K523" s="105">
        <f>L521</f>
        <v>7460.03</v>
      </c>
      <c r="L523" s="105"/>
      <c r="AD523">
        <f>ROUND((Source!AT160/100)*((ROUND(ROUND(Source!AO160,2)*Source!I160, 2)+ROUND(ROUND(Source!AN160,2)*Source!I160, 2))), 2)</f>
        <v>0</v>
      </c>
      <c r="AE523">
        <f>ROUND((Source!AU160/100)*((ROUND(ROUND(Source!AO160,2)*Source!I160, 2)+ROUND(ROUND(Source!AN160,2)*Source!I160, 2))), 2)</f>
        <v>0</v>
      </c>
      <c r="AN523" s="51">
        <f>L521</f>
        <v>7460.03</v>
      </c>
      <c r="AO523">
        <f>0</f>
        <v>0</v>
      </c>
      <c r="AQ523" t="s">
        <v>581</v>
      </c>
      <c r="AR523">
        <f>0</f>
        <v>0</v>
      </c>
      <c r="AT523">
        <f>0</f>
        <v>0</v>
      </c>
      <c r="AV523" t="s">
        <v>581</v>
      </c>
      <c r="AW523" s="51">
        <f>L521</f>
        <v>7460.03</v>
      </c>
      <c r="AZ523">
        <f>Source!X160</f>
        <v>0</v>
      </c>
      <c r="BA523">
        <f>Source!Y160</f>
        <v>0</v>
      </c>
      <c r="CD523">
        <v>2</v>
      </c>
    </row>
    <row r="524" spans="1:82" ht="14.25" x14ac:dyDescent="0.2">
      <c r="A524" s="37" t="s">
        <v>212</v>
      </c>
      <c r="B524" s="39" t="str">
        <f>Source!F161</f>
        <v>20.5.04.05-0009</v>
      </c>
      <c r="C524" s="39" t="str">
        <f>Source!G161</f>
        <v>Зажимы ответвительные Р 70</v>
      </c>
      <c r="D524" s="40" t="str">
        <f>Source!H161</f>
        <v>100 ШТ</v>
      </c>
      <c r="E524" s="41">
        <f>Source!K161</f>
        <v>0.4</v>
      </c>
      <c r="F524" s="41"/>
      <c r="G524" s="41">
        <f>Source!I161</f>
        <v>0.4</v>
      </c>
      <c r="H524" s="43">
        <f>Source!AL161</f>
        <v>81849.34</v>
      </c>
      <c r="I524" s="42">
        <f>IF(Source!BC161&lt;&gt; 0, Source!BC161, 1)</f>
        <v>1.07</v>
      </c>
      <c r="J524" s="43">
        <f>ROUND(H524*I524, 2)</f>
        <v>87578.79</v>
      </c>
      <c r="K524" s="42"/>
      <c r="L524" s="43">
        <f>Source!P161</f>
        <v>35031.519999999997</v>
      </c>
    </row>
    <row r="525" spans="1:82" x14ac:dyDescent="0.2">
      <c r="A525" s="65"/>
      <c r="B525" s="65"/>
      <c r="C525" s="91" t="str">
        <f>"Объем: "&amp;Source!I161&amp;"=40/"&amp;"100"</f>
        <v>Объем: 0,4=40/100</v>
      </c>
      <c r="D525" s="65"/>
      <c r="E525" s="65"/>
      <c r="F525" s="65"/>
      <c r="G525" s="65"/>
      <c r="H525" s="65"/>
      <c r="I525" s="65"/>
      <c r="J525" s="65"/>
      <c r="K525" s="65"/>
      <c r="L525" s="65"/>
    </row>
    <row r="526" spans="1:82" ht="15" x14ac:dyDescent="0.2">
      <c r="C526" s="104" t="s">
        <v>580</v>
      </c>
      <c r="D526" s="104"/>
      <c r="E526" s="104"/>
      <c r="F526" s="104"/>
      <c r="G526" s="104"/>
      <c r="H526" s="104"/>
      <c r="I526" s="105">
        <f>K526/E524</f>
        <v>87578.799999999988</v>
      </c>
      <c r="J526" s="105"/>
      <c r="K526" s="105">
        <f>L524</f>
        <v>35031.519999999997</v>
      </c>
      <c r="L526" s="105"/>
      <c r="AD526">
        <f>ROUND((Source!AT161/100)*((ROUND(ROUND(Source!AO161,2)*Source!I161, 2)+ROUND(ROUND(Source!AN161,2)*Source!I161, 2))), 2)</f>
        <v>0</v>
      </c>
      <c r="AE526">
        <f>ROUND((Source!AU161/100)*((ROUND(ROUND(Source!AO161,2)*Source!I161, 2)+ROUND(ROUND(Source!AN161,2)*Source!I161, 2))), 2)</f>
        <v>0</v>
      </c>
      <c r="AN526" s="51">
        <f>L524</f>
        <v>35031.519999999997</v>
      </c>
      <c r="AO526">
        <f>0</f>
        <v>0</v>
      </c>
      <c r="AQ526" t="s">
        <v>581</v>
      </c>
      <c r="AR526">
        <f>0</f>
        <v>0</v>
      </c>
      <c r="AT526">
        <f>0</f>
        <v>0</v>
      </c>
      <c r="AV526" t="s">
        <v>581</v>
      </c>
      <c r="AW526" s="51">
        <f>L524</f>
        <v>35031.519999999997</v>
      </c>
      <c r="AZ526">
        <f>Source!X161</f>
        <v>0</v>
      </c>
      <c r="BA526">
        <f>Source!Y161</f>
        <v>0</v>
      </c>
      <c r="CD526">
        <v>2</v>
      </c>
    </row>
    <row r="527" spans="1:82" ht="14.25" x14ac:dyDescent="0.2">
      <c r="A527" s="37" t="s">
        <v>216</v>
      </c>
      <c r="B527" s="39" t="str">
        <f>Source!F162</f>
        <v>20.5.04.05-0006</v>
      </c>
      <c r="C527" s="39" t="str">
        <f>Source!G162</f>
        <v>Зажим ответвительный (Р 6-ТЕ)(P-616R)</v>
      </c>
      <c r="D527" s="40" t="str">
        <f>Source!H162</f>
        <v>100 ШТ</v>
      </c>
      <c r="E527" s="41">
        <f>Source!K162</f>
        <v>0.4</v>
      </c>
      <c r="F527" s="41"/>
      <c r="G527" s="41">
        <f>Source!I162</f>
        <v>0.4</v>
      </c>
      <c r="H527" s="43">
        <f>Source!AL162</f>
        <v>29356.52</v>
      </c>
      <c r="I527" s="42">
        <f>IF(Source!BC162&lt;&gt; 0, Source!BC162, 1)</f>
        <v>1.07</v>
      </c>
      <c r="J527" s="43">
        <f>ROUND(H527*I527, 2)</f>
        <v>31411.48</v>
      </c>
      <c r="K527" s="42"/>
      <c r="L527" s="43">
        <f>Source!P162</f>
        <v>12564.59</v>
      </c>
    </row>
    <row r="528" spans="1:82" x14ac:dyDescent="0.2">
      <c r="A528" s="65"/>
      <c r="B528" s="65"/>
      <c r="C528" s="91" t="str">
        <f>"Объем: "&amp;Source!I162&amp;"=40/"&amp;"100"</f>
        <v>Объем: 0,4=40/100</v>
      </c>
      <c r="D528" s="65"/>
      <c r="E528" s="65"/>
      <c r="F528" s="65"/>
      <c r="G528" s="65"/>
      <c r="H528" s="65"/>
      <c r="I528" s="65"/>
      <c r="J528" s="65"/>
      <c r="K528" s="65"/>
      <c r="L528" s="65"/>
    </row>
    <row r="529" spans="1:82" ht="15" x14ac:dyDescent="0.2">
      <c r="C529" s="104" t="s">
        <v>580</v>
      </c>
      <c r="D529" s="104"/>
      <c r="E529" s="104"/>
      <c r="F529" s="104"/>
      <c r="G529" s="104"/>
      <c r="H529" s="104"/>
      <c r="I529" s="105">
        <f>K529/E527</f>
        <v>31411.474999999999</v>
      </c>
      <c r="J529" s="105"/>
      <c r="K529" s="105">
        <f>L527</f>
        <v>12564.59</v>
      </c>
      <c r="L529" s="105"/>
      <c r="AD529">
        <f>ROUND((Source!AT162/100)*((ROUND(ROUND(Source!AO162,2)*Source!I162, 2)+ROUND(ROUND(Source!AN162,2)*Source!I162, 2))), 2)</f>
        <v>0</v>
      </c>
      <c r="AE529">
        <f>ROUND((Source!AU162/100)*((ROUND(ROUND(Source!AO162,2)*Source!I162, 2)+ROUND(ROUND(Source!AN162,2)*Source!I162, 2))), 2)</f>
        <v>0</v>
      </c>
      <c r="AN529" s="51">
        <f>L527</f>
        <v>12564.59</v>
      </c>
      <c r="AO529">
        <f>0</f>
        <v>0</v>
      </c>
      <c r="AQ529" t="s">
        <v>581</v>
      </c>
      <c r="AR529">
        <f>0</f>
        <v>0</v>
      </c>
      <c r="AT529">
        <f>0</f>
        <v>0</v>
      </c>
      <c r="AV529" t="s">
        <v>581</v>
      </c>
      <c r="AW529" s="51">
        <f>L527</f>
        <v>12564.59</v>
      </c>
      <c r="AZ529">
        <f>Source!X162</f>
        <v>0</v>
      </c>
      <c r="BA529">
        <f>Source!Y162</f>
        <v>0</v>
      </c>
      <c r="CD529">
        <v>2</v>
      </c>
    </row>
    <row r="530" spans="1:82" ht="14.25" x14ac:dyDescent="0.2">
      <c r="A530" s="37" t="s">
        <v>220</v>
      </c>
      <c r="B530" s="39" t="str">
        <f>Source!F163</f>
        <v>20.5.04.05-0011</v>
      </c>
      <c r="C530" s="39" t="str">
        <f>Source!G163</f>
        <v>Зажим ответвительный (CD 153)</v>
      </c>
      <c r="D530" s="40" t="str">
        <f>Source!H163</f>
        <v>100 ШТ</v>
      </c>
      <c r="E530" s="41">
        <f>Source!K163</f>
        <v>0.12</v>
      </c>
      <c r="F530" s="41"/>
      <c r="G530" s="41">
        <f>Source!I163</f>
        <v>0.12</v>
      </c>
      <c r="H530" s="43">
        <f>Source!AL163</f>
        <v>68733.16</v>
      </c>
      <c r="I530" s="42">
        <f>IF(Source!BC163&lt;&gt; 0, Source!BC163, 1)</f>
        <v>1.07</v>
      </c>
      <c r="J530" s="43">
        <f>ROUND(H530*I530, 2)</f>
        <v>73544.479999999996</v>
      </c>
      <c r="K530" s="42"/>
      <c r="L530" s="43">
        <f>Source!P163</f>
        <v>8825.34</v>
      </c>
    </row>
    <row r="531" spans="1:82" x14ac:dyDescent="0.2">
      <c r="A531" s="65"/>
      <c r="B531" s="65"/>
      <c r="C531" s="91" t="str">
        <f>"Объем: "&amp;Source!I163&amp;"=12/"&amp;"100"</f>
        <v>Объем: 0,12=12/100</v>
      </c>
      <c r="D531" s="65"/>
      <c r="E531" s="65"/>
      <c r="F531" s="65"/>
      <c r="G531" s="65"/>
      <c r="H531" s="65"/>
      <c r="I531" s="65"/>
      <c r="J531" s="65"/>
      <c r="K531" s="65"/>
      <c r="L531" s="65"/>
    </row>
    <row r="532" spans="1:82" ht="15" x14ac:dyDescent="0.2">
      <c r="C532" s="104" t="s">
        <v>580</v>
      </c>
      <c r="D532" s="104"/>
      <c r="E532" s="104"/>
      <c r="F532" s="104"/>
      <c r="G532" s="104"/>
      <c r="H532" s="104"/>
      <c r="I532" s="105">
        <f>K532/E530</f>
        <v>73544.5</v>
      </c>
      <c r="J532" s="105"/>
      <c r="K532" s="105">
        <f>L530</f>
        <v>8825.34</v>
      </c>
      <c r="L532" s="105"/>
      <c r="AD532">
        <f>ROUND((Source!AT163/100)*((ROUND(ROUND(Source!AO163,2)*Source!I163, 2)+ROUND(ROUND(Source!AN163,2)*Source!I163, 2))), 2)</f>
        <v>0</v>
      </c>
      <c r="AE532">
        <f>ROUND((Source!AU163/100)*((ROUND(ROUND(Source!AO163,2)*Source!I163, 2)+ROUND(ROUND(Source!AN163,2)*Source!I163, 2))), 2)</f>
        <v>0</v>
      </c>
      <c r="AN532" s="51">
        <f>L530</f>
        <v>8825.34</v>
      </c>
      <c r="AO532">
        <f>0</f>
        <v>0</v>
      </c>
      <c r="AQ532" t="s">
        <v>581</v>
      </c>
      <c r="AR532">
        <f>0</f>
        <v>0</v>
      </c>
      <c r="AT532">
        <f>0</f>
        <v>0</v>
      </c>
      <c r="AV532" t="s">
        <v>581</v>
      </c>
      <c r="AW532" s="51">
        <f>L530</f>
        <v>8825.34</v>
      </c>
      <c r="AZ532">
        <f>Source!X163</f>
        <v>0</v>
      </c>
      <c r="BA532">
        <f>Source!Y163</f>
        <v>0</v>
      </c>
      <c r="CD532">
        <v>2</v>
      </c>
    </row>
    <row r="533" spans="1:82" ht="14.25" x14ac:dyDescent="0.2">
      <c r="A533" s="64" t="s">
        <v>224</v>
      </c>
      <c r="B533" s="46" t="str">
        <f>Source!F164</f>
        <v>25.2.02.04-0003</v>
      </c>
      <c r="C533" s="46" t="str">
        <f>Source!G164</f>
        <v>Подвеска промежуточная компл. ES 1500 ОE</v>
      </c>
      <c r="D533" s="47" t="str">
        <f>Source!H164</f>
        <v>КОМПЛ</v>
      </c>
      <c r="E533" s="48">
        <f>Source!K164</f>
        <v>20</v>
      </c>
      <c r="F533" s="48"/>
      <c r="G533" s="48">
        <f>Source!I164</f>
        <v>20</v>
      </c>
      <c r="H533" s="49">
        <f>Source!AL164</f>
        <v>576.54999999999995</v>
      </c>
      <c r="I533" s="50">
        <f>IF(Source!BC164&lt;&gt; 0, Source!BC164, 1)</f>
        <v>1.26</v>
      </c>
      <c r="J533" s="49">
        <f>ROUND(H533*I533, 2)</f>
        <v>726.45</v>
      </c>
      <c r="K533" s="50"/>
      <c r="L533" s="49">
        <f>Source!P164</f>
        <v>14529</v>
      </c>
    </row>
    <row r="534" spans="1:82" ht="15" x14ac:dyDescent="0.2">
      <c r="C534" s="104" t="s">
        <v>580</v>
      </c>
      <c r="D534" s="104"/>
      <c r="E534" s="104"/>
      <c r="F534" s="104"/>
      <c r="G534" s="104"/>
      <c r="H534" s="104"/>
      <c r="I534" s="105">
        <f>K534/E533</f>
        <v>726.45</v>
      </c>
      <c r="J534" s="105"/>
      <c r="K534" s="105">
        <f>L533</f>
        <v>14529</v>
      </c>
      <c r="L534" s="105"/>
      <c r="AD534">
        <f>ROUND((Source!AT164/100)*((ROUND(ROUND(Source!AO164,2)*Source!I164, 2)+ROUND(ROUND(Source!AN164,2)*Source!I164, 2))), 2)</f>
        <v>0</v>
      </c>
      <c r="AE534">
        <f>ROUND((Source!AU164/100)*((ROUND(ROUND(Source!AO164,2)*Source!I164, 2)+ROUND(ROUND(Source!AN164,2)*Source!I164, 2))), 2)</f>
        <v>0</v>
      </c>
      <c r="AN534" s="51">
        <f>L533</f>
        <v>14529</v>
      </c>
      <c r="AO534">
        <f>0</f>
        <v>0</v>
      </c>
      <c r="AQ534" t="s">
        <v>581</v>
      </c>
      <c r="AR534">
        <f>0</f>
        <v>0</v>
      </c>
      <c r="AT534">
        <f>0</f>
        <v>0</v>
      </c>
      <c r="AV534" t="s">
        <v>581</v>
      </c>
      <c r="AW534" s="51">
        <f>L533</f>
        <v>14529</v>
      </c>
      <c r="AZ534">
        <f>Source!X164</f>
        <v>0</v>
      </c>
      <c r="BA534">
        <f>Source!Y164</f>
        <v>0</v>
      </c>
      <c r="CD534">
        <v>1</v>
      </c>
    </row>
    <row r="535" spans="1:82" ht="14.25" x14ac:dyDescent="0.2">
      <c r="A535" s="37" t="s">
        <v>229</v>
      </c>
      <c r="B535" s="39" t="str">
        <f>Source!F165</f>
        <v>20.5.04.05-0007</v>
      </c>
      <c r="C535" s="39" t="str">
        <f>Source!G165</f>
        <v>Зажимы ответвительные Р 481</v>
      </c>
      <c r="D535" s="40" t="str">
        <f>Source!H165</f>
        <v>100 ШТ</v>
      </c>
      <c r="E535" s="41">
        <f>Source!K165</f>
        <v>0.24</v>
      </c>
      <c r="F535" s="41"/>
      <c r="G535" s="41">
        <f>Source!I165</f>
        <v>0.24</v>
      </c>
      <c r="H535" s="43">
        <f>Source!AL165</f>
        <v>52850.19</v>
      </c>
      <c r="I535" s="42">
        <f>IF(Source!BC165&lt;&gt; 0, Source!BC165, 1)</f>
        <v>1.07</v>
      </c>
      <c r="J535" s="43">
        <f>ROUND(H535*I535, 2)</f>
        <v>56549.7</v>
      </c>
      <c r="K535" s="42"/>
      <c r="L535" s="43">
        <f>Source!P165</f>
        <v>13571.93</v>
      </c>
    </row>
    <row r="536" spans="1:82" x14ac:dyDescent="0.2">
      <c r="A536" s="65"/>
      <c r="B536" s="65"/>
      <c r="C536" s="91" t="str">
        <f>"Объем: "&amp;Source!I165&amp;"=24/"&amp;"100"</f>
        <v>Объем: 0,24=24/100</v>
      </c>
      <c r="D536" s="65"/>
      <c r="E536" s="65"/>
      <c r="F536" s="65"/>
      <c r="G536" s="65"/>
      <c r="H536" s="65"/>
      <c r="I536" s="65"/>
      <c r="J536" s="65"/>
      <c r="K536" s="65"/>
      <c r="L536" s="65"/>
    </row>
    <row r="537" spans="1:82" ht="15" x14ac:dyDescent="0.2">
      <c r="C537" s="104" t="s">
        <v>580</v>
      </c>
      <c r="D537" s="104"/>
      <c r="E537" s="104"/>
      <c r="F537" s="104"/>
      <c r="G537" s="104"/>
      <c r="H537" s="104"/>
      <c r="I537" s="105">
        <f>K537/E535</f>
        <v>56549.708333333336</v>
      </c>
      <c r="J537" s="105"/>
      <c r="K537" s="105">
        <f>L535</f>
        <v>13571.93</v>
      </c>
      <c r="L537" s="105"/>
      <c r="AD537">
        <f>ROUND((Source!AT165/100)*((ROUND(ROUND(Source!AO165,2)*Source!I165, 2)+ROUND(ROUND(Source!AN165,2)*Source!I165, 2))), 2)</f>
        <v>0</v>
      </c>
      <c r="AE537">
        <f>ROUND((Source!AU165/100)*((ROUND(ROUND(Source!AO165,2)*Source!I165, 2)+ROUND(ROUND(Source!AN165,2)*Source!I165, 2))), 2)</f>
        <v>0</v>
      </c>
      <c r="AN537" s="51">
        <f>L535</f>
        <v>13571.93</v>
      </c>
      <c r="AO537">
        <f>0</f>
        <v>0</v>
      </c>
      <c r="AQ537" t="s">
        <v>581</v>
      </c>
      <c r="AR537">
        <f>0</f>
        <v>0</v>
      </c>
      <c r="AT537">
        <f>0</f>
        <v>0</v>
      </c>
      <c r="AV537" t="s">
        <v>581</v>
      </c>
      <c r="AW537" s="51">
        <f>L535</f>
        <v>13571.93</v>
      </c>
      <c r="AZ537">
        <f>Source!X165</f>
        <v>0</v>
      </c>
      <c r="BA537">
        <f>Source!Y165</f>
        <v>0</v>
      </c>
      <c r="CD537">
        <v>2</v>
      </c>
    </row>
    <row r="538" spans="1:82" ht="14.25" x14ac:dyDescent="0.2">
      <c r="A538" s="64" t="s">
        <v>233</v>
      </c>
      <c r="B538" s="46" t="str">
        <f>Source!F166</f>
        <v>20.2.06.04-0002</v>
      </c>
      <c r="C538" s="46" t="str">
        <f>Source!G166</f>
        <v>Кронштейн У-4</v>
      </c>
      <c r="D538" s="47" t="str">
        <f>Source!H166</f>
        <v>КОМПЛ</v>
      </c>
      <c r="E538" s="48">
        <f>Source!K166</f>
        <v>12</v>
      </c>
      <c r="F538" s="48"/>
      <c r="G538" s="48">
        <f>Source!I166</f>
        <v>12</v>
      </c>
      <c r="H538" s="49">
        <f>Source!AL166</f>
        <v>1480.04</v>
      </c>
      <c r="I538" s="50">
        <f>IF(Source!BC166&lt;&gt; 0, Source!BC166, 1)</f>
        <v>1.1299999999999999</v>
      </c>
      <c r="J538" s="49">
        <f>ROUND(H538*I538, 2)</f>
        <v>1672.45</v>
      </c>
      <c r="K538" s="50"/>
      <c r="L538" s="49">
        <f>Source!P166</f>
        <v>20069.400000000001</v>
      </c>
    </row>
    <row r="539" spans="1:82" ht="15" x14ac:dyDescent="0.2">
      <c r="C539" s="104" t="s">
        <v>580</v>
      </c>
      <c r="D539" s="104"/>
      <c r="E539" s="104"/>
      <c r="F539" s="104"/>
      <c r="G539" s="104"/>
      <c r="H539" s="104"/>
      <c r="I539" s="105">
        <f>K539/E538</f>
        <v>1672.45</v>
      </c>
      <c r="J539" s="105"/>
      <c r="K539" s="105">
        <f>L538</f>
        <v>20069.400000000001</v>
      </c>
      <c r="L539" s="105"/>
      <c r="AD539">
        <f>ROUND((Source!AT166/100)*((ROUND(ROUND(Source!AO166,2)*Source!I166, 2)+ROUND(ROUND(Source!AN166,2)*Source!I166, 2))), 2)</f>
        <v>0</v>
      </c>
      <c r="AE539">
        <f>ROUND((Source!AU166/100)*((ROUND(ROUND(Source!AO166,2)*Source!I166, 2)+ROUND(ROUND(Source!AN166,2)*Source!I166, 2))), 2)</f>
        <v>0</v>
      </c>
      <c r="AN539" s="51">
        <f>L538</f>
        <v>20069.400000000001</v>
      </c>
      <c r="AO539">
        <f>0</f>
        <v>0</v>
      </c>
      <c r="AQ539" t="s">
        <v>581</v>
      </c>
      <c r="AR539">
        <f>0</f>
        <v>0</v>
      </c>
      <c r="AT539">
        <f>0</f>
        <v>0</v>
      </c>
      <c r="AV539" t="s">
        <v>581</v>
      </c>
      <c r="AW539" s="51">
        <f>L538</f>
        <v>20069.400000000001</v>
      </c>
      <c r="AZ539">
        <f>Source!X166</f>
        <v>0</v>
      </c>
      <c r="BA539">
        <f>Source!Y166</f>
        <v>0</v>
      </c>
      <c r="CD539">
        <v>2</v>
      </c>
    </row>
    <row r="540" spans="1:82" ht="14.25" x14ac:dyDescent="0.2">
      <c r="A540" s="64" t="s">
        <v>237</v>
      </c>
      <c r="B540" s="46" t="str">
        <f>Source!F167</f>
        <v>27.2.01.08-0010</v>
      </c>
      <c r="C540" s="46" t="str">
        <f>Source!G167</f>
        <v>Хомут к кронштейну, диаметр 89 мм</v>
      </c>
      <c r="D540" s="47" t="str">
        <f>Source!H167</f>
        <v>ШТ</v>
      </c>
      <c r="E540" s="48">
        <f>Source!K167</f>
        <v>12</v>
      </c>
      <c r="F540" s="48"/>
      <c r="G540" s="48">
        <f>Source!I167</f>
        <v>12</v>
      </c>
      <c r="H540" s="49">
        <f>Source!AL167</f>
        <v>384.24</v>
      </c>
      <c r="I540" s="50">
        <f>IF(Source!BC167&lt;&gt; 0, Source!BC167, 1)</f>
        <v>1.1299999999999999</v>
      </c>
      <c r="J540" s="49">
        <f>ROUND(H540*I540, 2)</f>
        <v>434.19</v>
      </c>
      <c r="K540" s="50"/>
      <c r="L540" s="49">
        <f>Source!P167</f>
        <v>5210.28</v>
      </c>
    </row>
    <row r="541" spans="1:82" ht="15" x14ac:dyDescent="0.2">
      <c r="C541" s="104" t="s">
        <v>580</v>
      </c>
      <c r="D541" s="104"/>
      <c r="E541" s="104"/>
      <c r="F541" s="104"/>
      <c r="G541" s="104"/>
      <c r="H541" s="104"/>
      <c r="I541" s="105">
        <f>K541/E540</f>
        <v>434.19</v>
      </c>
      <c r="J541" s="105"/>
      <c r="K541" s="105">
        <f>L540</f>
        <v>5210.28</v>
      </c>
      <c r="L541" s="105"/>
      <c r="AD541">
        <f>ROUND((Source!AT167/100)*((ROUND(ROUND(Source!AO167,2)*Source!I167, 2)+ROUND(ROUND(Source!AN167,2)*Source!I167, 2))), 2)</f>
        <v>0</v>
      </c>
      <c r="AE541">
        <f>ROUND((Source!AU167/100)*((ROUND(ROUND(Source!AO167,2)*Source!I167, 2)+ROUND(ROUND(Source!AN167,2)*Source!I167, 2))), 2)</f>
        <v>0</v>
      </c>
      <c r="AN541" s="51">
        <f>L540</f>
        <v>5210.28</v>
      </c>
      <c r="AO541">
        <f>0</f>
        <v>0</v>
      </c>
      <c r="AQ541" t="s">
        <v>581</v>
      </c>
      <c r="AR541">
        <f>0</f>
        <v>0</v>
      </c>
      <c r="AT541">
        <f>0</f>
        <v>0</v>
      </c>
      <c r="AV541" t="s">
        <v>581</v>
      </c>
      <c r="AW541" s="51">
        <f>L540</f>
        <v>5210.28</v>
      </c>
      <c r="AZ541">
        <f>Source!X167</f>
        <v>0</v>
      </c>
      <c r="BA541">
        <f>Source!Y167</f>
        <v>0</v>
      </c>
      <c r="CD541">
        <v>1</v>
      </c>
    </row>
    <row r="542" spans="1:82" ht="57" x14ac:dyDescent="0.2">
      <c r="A542" s="64" t="s">
        <v>241</v>
      </c>
      <c r="B542" s="46" t="str">
        <f>Source!F168</f>
        <v>08.3.08.02-0045</v>
      </c>
      <c r="C542" s="46" t="str">
        <f>Source!G168</f>
        <v>Уголок стальной горячекатаный равнополочный, марки стали Ст3сп, Ст3пс, ширина полок 63-100 мм, толщина полки 4-16 мм</v>
      </c>
      <c r="D542" s="47" t="str">
        <f>Source!H168</f>
        <v>т</v>
      </c>
      <c r="E542" s="48">
        <f>Source!K168</f>
        <v>0.17316000000000001</v>
      </c>
      <c r="F542" s="48"/>
      <c r="G542" s="48">
        <f>Source!I168</f>
        <v>0.17316000000000001</v>
      </c>
      <c r="H542" s="49"/>
      <c r="I542" s="50"/>
      <c r="J542" s="49">
        <f>Source!AL168</f>
        <v>60419.11</v>
      </c>
      <c r="K542" s="50"/>
      <c r="L542" s="49">
        <f>Source!P168</f>
        <v>10462.17</v>
      </c>
    </row>
    <row r="543" spans="1:82" ht="15" x14ac:dyDescent="0.2">
      <c r="C543" s="104" t="s">
        <v>580</v>
      </c>
      <c r="D543" s="104"/>
      <c r="E543" s="104"/>
      <c r="F543" s="104"/>
      <c r="G543" s="104"/>
      <c r="H543" s="104"/>
      <c r="I543" s="105">
        <f>K543/E542</f>
        <v>60419.092169092168</v>
      </c>
      <c r="J543" s="105"/>
      <c r="K543" s="105">
        <f>L542</f>
        <v>10462.17</v>
      </c>
      <c r="L543" s="105"/>
      <c r="AD543">
        <f>ROUND((Source!AT168/100)*((ROUND(ROUND(Source!AO168,2)*Source!I168, 2)+ROUND(ROUND(Source!AN168,2)*Source!I168, 2))), 2)</f>
        <v>0</v>
      </c>
      <c r="AE543">
        <f>ROUND((Source!AU168/100)*((ROUND(ROUND(Source!AO168,2)*Source!I168, 2)+ROUND(ROUND(Source!AN168,2)*Source!I168, 2))), 2)</f>
        <v>0</v>
      </c>
      <c r="AN543" s="51">
        <f>L542</f>
        <v>10462.17</v>
      </c>
      <c r="AO543">
        <f>0</f>
        <v>0</v>
      </c>
      <c r="AQ543" t="s">
        <v>581</v>
      </c>
      <c r="AR543">
        <f>0</f>
        <v>0</v>
      </c>
      <c r="AT543">
        <f>0</f>
        <v>0</v>
      </c>
      <c r="AV543" t="s">
        <v>581</v>
      </c>
      <c r="AW543" s="51">
        <f>L542</f>
        <v>10462.17</v>
      </c>
      <c r="AZ543">
        <f>Source!X168</f>
        <v>0</v>
      </c>
      <c r="BA543">
        <f>Source!Y168</f>
        <v>0</v>
      </c>
      <c r="CD543">
        <v>1</v>
      </c>
    </row>
    <row r="544" spans="1:82" ht="14.25" x14ac:dyDescent="0.2">
      <c r="A544" s="37" t="s">
        <v>246</v>
      </c>
      <c r="B544" s="39" t="str">
        <f>Source!F169</f>
        <v>25.2.02.09-0011</v>
      </c>
      <c r="C544" s="39" t="str">
        <f>Source!G169</f>
        <v>Стяжной хомут Е260</v>
      </c>
      <c r="D544" s="40" t="str">
        <f>Source!H169</f>
        <v>100 ШТ</v>
      </c>
      <c r="E544" s="41">
        <f>Source!K169</f>
        <v>0.88</v>
      </c>
      <c r="F544" s="41"/>
      <c r="G544" s="41">
        <f>Source!I169</f>
        <v>0.88</v>
      </c>
      <c r="H544" s="43">
        <f>Source!AL169</f>
        <v>466.31</v>
      </c>
      <c r="I544" s="42">
        <f>IF(Source!BC169&lt;&gt; 0, Source!BC169, 1)</f>
        <v>0.94</v>
      </c>
      <c r="J544" s="43">
        <f>ROUND(H544*I544, 2)</f>
        <v>438.33</v>
      </c>
      <c r="K544" s="42"/>
      <c r="L544" s="43">
        <f>Source!P169</f>
        <v>385.73</v>
      </c>
    </row>
    <row r="545" spans="1:82" x14ac:dyDescent="0.2">
      <c r="A545" s="65"/>
      <c r="B545" s="65"/>
      <c r="C545" s="91" t="str">
        <f>"Объем: "&amp;Source!I169&amp;"=88/"&amp;"100"</f>
        <v>Объем: 0,88=88/100</v>
      </c>
      <c r="D545" s="65"/>
      <c r="E545" s="65"/>
      <c r="F545" s="65"/>
      <c r="G545" s="65"/>
      <c r="H545" s="65"/>
      <c r="I545" s="65"/>
      <c r="J545" s="65"/>
      <c r="K545" s="65"/>
      <c r="L545" s="65"/>
    </row>
    <row r="546" spans="1:82" ht="15" x14ac:dyDescent="0.2">
      <c r="C546" s="104" t="s">
        <v>580</v>
      </c>
      <c r="D546" s="104"/>
      <c r="E546" s="104"/>
      <c r="F546" s="104"/>
      <c r="G546" s="104"/>
      <c r="H546" s="104"/>
      <c r="I546" s="105">
        <f>K546/E544</f>
        <v>438.3295454545455</v>
      </c>
      <c r="J546" s="105"/>
      <c r="K546" s="105">
        <f>L544</f>
        <v>385.73</v>
      </c>
      <c r="L546" s="105"/>
      <c r="AD546">
        <f>ROUND((Source!AT169/100)*((ROUND(ROUND(Source!AO169,2)*Source!I169, 2)+ROUND(ROUND(Source!AN169,2)*Source!I169, 2))), 2)</f>
        <v>0</v>
      </c>
      <c r="AE546">
        <f>ROUND((Source!AU169/100)*((ROUND(ROUND(Source!AO169,2)*Source!I169, 2)+ROUND(ROUND(Source!AN169,2)*Source!I169, 2))), 2)</f>
        <v>0</v>
      </c>
      <c r="AN546" s="51">
        <f>L544</f>
        <v>385.73</v>
      </c>
      <c r="AO546">
        <f>0</f>
        <v>0</v>
      </c>
      <c r="AQ546" t="s">
        <v>581</v>
      </c>
      <c r="AR546">
        <f>0</f>
        <v>0</v>
      </c>
      <c r="AT546">
        <f>0</f>
        <v>0</v>
      </c>
      <c r="AV546" t="s">
        <v>581</v>
      </c>
      <c r="AW546" s="51">
        <f>L544</f>
        <v>385.73</v>
      </c>
      <c r="AZ546">
        <f>Source!X169</f>
        <v>0</v>
      </c>
      <c r="BA546">
        <f>Source!Y169</f>
        <v>0</v>
      </c>
      <c r="CD546">
        <v>1</v>
      </c>
    </row>
    <row r="547" spans="1:82" ht="14.25" x14ac:dyDescent="0.2">
      <c r="A547" s="64" t="s">
        <v>250</v>
      </c>
      <c r="B547" s="46" t="str">
        <f>Source!F170</f>
        <v>14.2.02.03-0019</v>
      </c>
      <c r="C547" s="46" t="str">
        <f>Source!G170</f>
        <v>Краска аэрозоль черная</v>
      </c>
      <c r="D547" s="47" t="str">
        <f>Source!H170</f>
        <v>кг</v>
      </c>
      <c r="E547" s="48">
        <f>Source!K170</f>
        <v>5</v>
      </c>
      <c r="F547" s="48"/>
      <c r="G547" s="48">
        <f>Source!I170</f>
        <v>5</v>
      </c>
      <c r="H547" s="49">
        <f>Source!AL170</f>
        <v>376.05</v>
      </c>
      <c r="I547" s="50">
        <f>IF(Source!BC170&lt;&gt; 0, Source!BC170, 1)</f>
        <v>1.87</v>
      </c>
      <c r="J547" s="49">
        <f>ROUND(H547*I547, 2)</f>
        <v>703.21</v>
      </c>
      <c r="K547" s="50"/>
      <c r="L547" s="49">
        <f>Source!P170</f>
        <v>3516.05</v>
      </c>
    </row>
    <row r="548" spans="1:82" ht="15" x14ac:dyDescent="0.2">
      <c r="C548" s="104" t="s">
        <v>580</v>
      </c>
      <c r="D548" s="104"/>
      <c r="E548" s="104"/>
      <c r="F548" s="104"/>
      <c r="G548" s="104"/>
      <c r="H548" s="104"/>
      <c r="I548" s="105">
        <f>K548/E547</f>
        <v>703.21</v>
      </c>
      <c r="J548" s="105"/>
      <c r="K548" s="105">
        <f>L547</f>
        <v>3516.05</v>
      </c>
      <c r="L548" s="105"/>
      <c r="AD548">
        <f>ROUND((Source!AT170/100)*((ROUND(ROUND(Source!AO170,2)*Source!I170, 2)+ROUND(ROUND(Source!AN170,2)*Source!I170, 2))), 2)</f>
        <v>0</v>
      </c>
      <c r="AE548">
        <f>ROUND((Source!AU170/100)*((ROUND(ROUND(Source!AO170,2)*Source!I170, 2)+ROUND(ROUND(Source!AN170,2)*Source!I170, 2))), 2)</f>
        <v>0</v>
      </c>
      <c r="AN548" s="51">
        <f>L547</f>
        <v>3516.05</v>
      </c>
      <c r="AO548">
        <f>0</f>
        <v>0</v>
      </c>
      <c r="AQ548" t="s">
        <v>581</v>
      </c>
      <c r="AR548">
        <f>0</f>
        <v>0</v>
      </c>
      <c r="AT548">
        <f>0</f>
        <v>0</v>
      </c>
      <c r="AV548" t="s">
        <v>581</v>
      </c>
      <c r="AW548" s="51">
        <f>L547</f>
        <v>3516.05</v>
      </c>
      <c r="AZ548">
        <f>Source!X170</f>
        <v>0</v>
      </c>
      <c r="BA548">
        <f>Source!Y170</f>
        <v>0</v>
      </c>
      <c r="CD548">
        <v>1</v>
      </c>
    </row>
    <row r="550" spans="1:82" ht="15" x14ac:dyDescent="0.2">
      <c r="A550" s="61"/>
      <c r="B550" s="62"/>
      <c r="C550" s="123" t="s">
        <v>598</v>
      </c>
      <c r="D550" s="123"/>
      <c r="E550" s="123"/>
      <c r="F550" s="123"/>
      <c r="G550" s="123"/>
      <c r="H550" s="123"/>
      <c r="I550" s="45"/>
      <c r="J550" s="61"/>
      <c r="K550" s="63"/>
      <c r="L550" s="45">
        <f>L552+L553+L559+L563</f>
        <v>801833.24000000022</v>
      </c>
    </row>
    <row r="551" spans="1:82" ht="14.25" x14ac:dyDescent="0.2">
      <c r="A551" s="54"/>
      <c r="B551" s="60"/>
      <c r="C551" s="122" t="s">
        <v>599</v>
      </c>
      <c r="D551" s="121"/>
      <c r="E551" s="121"/>
      <c r="F551" s="121"/>
      <c r="G551" s="121"/>
      <c r="H551" s="121"/>
      <c r="I551" s="43"/>
      <c r="J551" s="54"/>
      <c r="K551" s="41"/>
      <c r="L551" s="43"/>
    </row>
    <row r="552" spans="1:82" ht="14.25" hidden="1" x14ac:dyDescent="0.2">
      <c r="A552" s="54"/>
      <c r="B552" s="60"/>
      <c r="C552" s="121" t="s">
        <v>600</v>
      </c>
      <c r="D552" s="121"/>
      <c r="E552" s="121"/>
      <c r="F552" s="121"/>
      <c r="G552" s="121"/>
      <c r="H552" s="121"/>
      <c r="I552" s="43"/>
      <c r="J552" s="54"/>
      <c r="K552" s="41"/>
      <c r="L552" s="43">
        <f>SUM(AR504:AR548)</f>
        <v>0</v>
      </c>
    </row>
    <row r="553" spans="1:82" ht="14.25" hidden="1" x14ac:dyDescent="0.2">
      <c r="A553" s="54"/>
      <c r="B553" s="60"/>
      <c r="C553" s="121" t="s">
        <v>601</v>
      </c>
      <c r="D553" s="121"/>
      <c r="E553" s="121"/>
      <c r="F553" s="121"/>
      <c r="G553" s="121"/>
      <c r="H553" s="121"/>
      <c r="I553" s="43"/>
      <c r="J553" s="54"/>
      <c r="K553" s="41"/>
      <c r="L553" s="43">
        <f>L555+L558+L557</f>
        <v>0</v>
      </c>
    </row>
    <row r="554" spans="1:82" ht="14.25" hidden="1" x14ac:dyDescent="0.2">
      <c r="A554" s="54"/>
      <c r="B554" s="60"/>
      <c r="C554" s="122" t="s">
        <v>602</v>
      </c>
      <c r="D554" s="121"/>
      <c r="E554" s="121"/>
      <c r="F554" s="121"/>
      <c r="G554" s="121"/>
      <c r="H554" s="121"/>
      <c r="I554" s="43"/>
      <c r="J554" s="54"/>
      <c r="K554" s="41"/>
      <c r="L554" s="43"/>
    </row>
    <row r="555" spans="1:82" ht="14.25" hidden="1" x14ac:dyDescent="0.2">
      <c r="A555" s="54"/>
      <c r="B555" s="60"/>
      <c r="C555" s="121" t="s">
        <v>601</v>
      </c>
      <c r="D555" s="121"/>
      <c r="E555" s="121"/>
      <c r="F555" s="121"/>
      <c r="G555" s="121"/>
      <c r="H555" s="121"/>
      <c r="I555" s="43"/>
      <c r="J555" s="54"/>
      <c r="K555" s="41"/>
      <c r="L555" s="43">
        <f>SUM(AO504:AO548)</f>
        <v>0</v>
      </c>
    </row>
    <row r="556" spans="1:82" ht="14.25" hidden="1" x14ac:dyDescent="0.2">
      <c r="A556" s="54"/>
      <c r="B556" s="60"/>
      <c r="C556" s="122" t="s">
        <v>603</v>
      </c>
      <c r="D556" s="121"/>
      <c r="E556" s="121"/>
      <c r="F556" s="121"/>
      <c r="G556" s="121"/>
      <c r="H556" s="121"/>
      <c r="I556" s="43"/>
      <c r="J556" s="54"/>
      <c r="K556" s="41"/>
      <c r="L556" s="43"/>
    </row>
    <row r="557" spans="1:82" ht="14.25" hidden="1" x14ac:dyDescent="0.2">
      <c r="A557" s="54"/>
      <c r="B557" s="60"/>
      <c r="C557" s="121" t="s">
        <v>623</v>
      </c>
      <c r="D557" s="121"/>
      <c r="E557" s="121"/>
      <c r="F557" s="121"/>
      <c r="G557" s="121"/>
      <c r="H557" s="121"/>
      <c r="I557" s="43"/>
      <c r="J557" s="54"/>
      <c r="K557" s="41"/>
      <c r="L557" s="43">
        <f>SUM(AT504:AT548)</f>
        <v>0</v>
      </c>
    </row>
    <row r="558" spans="1:82" ht="14.25" hidden="1" x14ac:dyDescent="0.2">
      <c r="A558" s="54"/>
      <c r="B558" s="60"/>
      <c r="C558" s="121" t="s">
        <v>604</v>
      </c>
      <c r="D558" s="121"/>
      <c r="E558" s="121"/>
      <c r="F558" s="121"/>
      <c r="G558" s="121"/>
      <c r="H558" s="121"/>
      <c r="I558" s="43"/>
      <c r="J558" s="54"/>
      <c r="K558" s="41"/>
      <c r="L558" s="43">
        <f>SUM(AV504:AV548)</f>
        <v>0</v>
      </c>
    </row>
    <row r="559" spans="1:82" ht="14.25" x14ac:dyDescent="0.2">
      <c r="A559" s="54"/>
      <c r="B559" s="60"/>
      <c r="C559" s="121" t="s">
        <v>605</v>
      </c>
      <c r="D559" s="121"/>
      <c r="E559" s="121"/>
      <c r="F559" s="121"/>
      <c r="G559" s="121"/>
      <c r="H559" s="121"/>
      <c r="I559" s="43"/>
      <c r="J559" s="54"/>
      <c r="K559" s="41"/>
      <c r="L559" s="43">
        <f>L561+L562</f>
        <v>801833.24000000022</v>
      </c>
    </row>
    <row r="560" spans="1:82" ht="14.25" x14ac:dyDescent="0.2">
      <c r="A560" s="54"/>
      <c r="B560" s="60"/>
      <c r="C560" s="122" t="s">
        <v>602</v>
      </c>
      <c r="D560" s="121"/>
      <c r="E560" s="121"/>
      <c r="F560" s="121"/>
      <c r="G560" s="121"/>
      <c r="H560" s="121"/>
      <c r="I560" s="43"/>
      <c r="J560" s="54"/>
      <c r="K560" s="41"/>
      <c r="L560" s="43"/>
    </row>
    <row r="561" spans="1:12" ht="14.25" x14ac:dyDescent="0.2">
      <c r="A561" s="54"/>
      <c r="B561" s="60"/>
      <c r="C561" s="121" t="s">
        <v>606</v>
      </c>
      <c r="D561" s="121"/>
      <c r="E561" s="121"/>
      <c r="F561" s="121"/>
      <c r="G561" s="121"/>
      <c r="H561" s="121"/>
      <c r="I561" s="43"/>
      <c r="J561" s="54"/>
      <c r="K561" s="41"/>
      <c r="L561" s="43">
        <f>SUM(AW504:AW548)-SUM(BK504:BK548)</f>
        <v>801833.24000000022</v>
      </c>
    </row>
    <row r="562" spans="1:12" ht="14.25" hidden="1" x14ac:dyDescent="0.2">
      <c r="A562" s="54"/>
      <c r="B562" s="60"/>
      <c r="C562" s="121" t="s">
        <v>607</v>
      </c>
      <c r="D562" s="121"/>
      <c r="E562" s="121"/>
      <c r="F562" s="121"/>
      <c r="G562" s="121"/>
      <c r="H562" s="121"/>
      <c r="I562" s="43"/>
      <c r="J562" s="54"/>
      <c r="K562" s="41"/>
      <c r="L562" s="43">
        <f>SUM(BC504:BC548)</f>
        <v>0</v>
      </c>
    </row>
    <row r="563" spans="1:12" ht="14.25" hidden="1" x14ac:dyDescent="0.2">
      <c r="A563" s="54"/>
      <c r="B563" s="60"/>
      <c r="C563" s="121" t="s">
        <v>608</v>
      </c>
      <c r="D563" s="121"/>
      <c r="E563" s="121"/>
      <c r="F563" s="121"/>
      <c r="G563" s="121"/>
      <c r="H563" s="121"/>
      <c r="I563" s="43"/>
      <c r="J563" s="54"/>
      <c r="K563" s="41"/>
      <c r="L563" s="43">
        <f>SUM(BB504:BB548)</f>
        <v>0</v>
      </c>
    </row>
    <row r="564" spans="1:12" ht="14.25" hidden="1" x14ac:dyDescent="0.2">
      <c r="A564" s="54"/>
      <c r="B564" s="60"/>
      <c r="C564" s="121" t="s">
        <v>609</v>
      </c>
      <c r="D564" s="121"/>
      <c r="E564" s="121"/>
      <c r="F564" s="121"/>
      <c r="G564" s="121"/>
      <c r="H564" s="121"/>
      <c r="I564" s="43"/>
      <c r="J564" s="54"/>
      <c r="K564" s="41"/>
      <c r="L564" s="43">
        <f>SUM(AR504:AR548)+SUM(AT504:AT548)+SUM(AV504:AV548)</f>
        <v>0</v>
      </c>
    </row>
    <row r="565" spans="1:12" ht="14.25" hidden="1" x14ac:dyDescent="0.2">
      <c r="A565" s="54"/>
      <c r="B565" s="60"/>
      <c r="C565" s="121" t="s">
        <v>610</v>
      </c>
      <c r="D565" s="121"/>
      <c r="E565" s="121"/>
      <c r="F565" s="121"/>
      <c r="G565" s="121"/>
      <c r="H565" s="121"/>
      <c r="I565" s="43"/>
      <c r="J565" s="54"/>
      <c r="K565" s="41"/>
      <c r="L565" s="43">
        <f>SUM(AZ504:AZ548)</f>
        <v>0</v>
      </c>
    </row>
    <row r="566" spans="1:12" ht="14.25" hidden="1" x14ac:dyDescent="0.2">
      <c r="A566" s="54"/>
      <c r="B566" s="60"/>
      <c r="C566" s="121" t="s">
        <v>611</v>
      </c>
      <c r="D566" s="121"/>
      <c r="E566" s="121"/>
      <c r="F566" s="121"/>
      <c r="G566" s="121"/>
      <c r="H566" s="121"/>
      <c r="I566" s="43"/>
      <c r="J566" s="54"/>
      <c r="K566" s="41"/>
      <c r="L566" s="43">
        <f>SUM(BA504:BA548)</f>
        <v>0</v>
      </c>
    </row>
    <row r="567" spans="1:12" ht="14.25" hidden="1" x14ac:dyDescent="0.2">
      <c r="A567" s="54"/>
      <c r="B567" s="60"/>
      <c r="C567" s="121" t="s">
        <v>612</v>
      </c>
      <c r="D567" s="121"/>
      <c r="E567" s="121"/>
      <c r="F567" s="121"/>
      <c r="G567" s="121"/>
      <c r="H567" s="121"/>
      <c r="I567" s="43"/>
      <c r="J567" s="54"/>
      <c r="K567" s="41"/>
      <c r="L567" s="43">
        <f>L569+L570</f>
        <v>0</v>
      </c>
    </row>
    <row r="568" spans="1:12" ht="14.25" hidden="1" x14ac:dyDescent="0.2">
      <c r="A568" s="54"/>
      <c r="B568" s="60"/>
      <c r="C568" s="122" t="s">
        <v>599</v>
      </c>
      <c r="D568" s="121"/>
      <c r="E568" s="121"/>
      <c r="F568" s="121"/>
      <c r="G568" s="121"/>
      <c r="H568" s="121"/>
      <c r="I568" s="43"/>
      <c r="J568" s="54"/>
      <c r="K568" s="41"/>
      <c r="L568" s="43"/>
    </row>
    <row r="569" spans="1:12" ht="14.25" hidden="1" x14ac:dyDescent="0.2">
      <c r="A569" s="54"/>
      <c r="B569" s="60"/>
      <c r="C569" s="121" t="s">
        <v>613</v>
      </c>
      <c r="D569" s="121"/>
      <c r="E569" s="121"/>
      <c r="F569" s="121"/>
      <c r="G569" s="121"/>
      <c r="H569" s="121"/>
      <c r="I569" s="43"/>
      <c r="J569" s="54"/>
      <c r="K569" s="41"/>
      <c r="L569" s="43">
        <f>SUM(BK504:BK548)</f>
        <v>0</v>
      </c>
    </row>
    <row r="570" spans="1:12" ht="14.25" hidden="1" x14ac:dyDescent="0.2">
      <c r="A570" s="54"/>
      <c r="B570" s="60"/>
      <c r="C570" s="121" t="s">
        <v>614</v>
      </c>
      <c r="D570" s="121"/>
      <c r="E570" s="121"/>
      <c r="F570" s="121"/>
      <c r="G570" s="121"/>
      <c r="H570" s="121"/>
      <c r="I570" s="43"/>
      <c r="J570" s="54"/>
      <c r="K570" s="41"/>
      <c r="L570" s="43">
        <f>SUM(BD504:BD548)</f>
        <v>0</v>
      </c>
    </row>
    <row r="571" spans="1:12" ht="14.25" hidden="1" x14ac:dyDescent="0.2">
      <c r="A571" s="54"/>
      <c r="B571" s="60"/>
      <c r="C571" s="121" t="s">
        <v>615</v>
      </c>
      <c r="D571" s="121"/>
      <c r="E571" s="121"/>
      <c r="F571" s="121"/>
      <c r="G571" s="121"/>
      <c r="H571" s="121"/>
      <c r="I571" s="43"/>
      <c r="J571" s="54"/>
      <c r="K571" s="41"/>
      <c r="L571" s="43"/>
    </row>
    <row r="572" spans="1:12" ht="14.25" hidden="1" x14ac:dyDescent="0.2">
      <c r="A572" s="54"/>
      <c r="B572" s="60"/>
      <c r="C572" s="121" t="s">
        <v>616</v>
      </c>
      <c r="D572" s="121"/>
      <c r="E572" s="121"/>
      <c r="F572" s="121"/>
      <c r="G572" s="121"/>
      <c r="H572" s="121"/>
      <c r="I572" s="43"/>
      <c r="J572" s="54"/>
      <c r="K572" s="41"/>
      <c r="L572" s="43">
        <f>SUM(BO504:BO548)</f>
        <v>0</v>
      </c>
    </row>
    <row r="573" spans="1:12" ht="15" x14ac:dyDescent="0.2">
      <c r="A573" s="61"/>
      <c r="B573" s="62"/>
      <c r="C573" s="123" t="s">
        <v>617</v>
      </c>
      <c r="D573" s="123"/>
      <c r="E573" s="123"/>
      <c r="F573" s="123"/>
      <c r="G573" s="123"/>
      <c r="H573" s="123"/>
      <c r="I573" s="45"/>
      <c r="J573" s="61"/>
      <c r="K573" s="63"/>
      <c r="L573" s="45">
        <f>L550+L565+L566+L567+L571+L572</f>
        <v>801833.24000000022</v>
      </c>
    </row>
    <row r="574" spans="1:12" ht="14.25" hidden="1" x14ac:dyDescent="0.2">
      <c r="A574" s="54"/>
      <c r="B574" s="60"/>
      <c r="C574" s="122" t="s">
        <v>618</v>
      </c>
      <c r="D574" s="121"/>
      <c r="E574" s="121"/>
      <c r="F574" s="121"/>
      <c r="G574" s="121"/>
      <c r="H574" s="121"/>
      <c r="I574" s="43"/>
      <c r="J574" s="54"/>
      <c r="K574" s="41"/>
      <c r="L574" s="43"/>
    </row>
    <row r="575" spans="1:12" ht="14.25" hidden="1" x14ac:dyDescent="0.2">
      <c r="A575" s="54"/>
      <c r="B575" s="60"/>
      <c r="C575" s="121" t="s">
        <v>619</v>
      </c>
      <c r="D575" s="121"/>
      <c r="E575" s="121"/>
      <c r="F575" s="121"/>
      <c r="G575" s="121"/>
      <c r="H575" s="121"/>
      <c r="I575" s="43"/>
      <c r="J575" s="54"/>
      <c r="K575" s="41"/>
      <c r="L575" s="43">
        <f>SUM(AX504:AX548)</f>
        <v>0</v>
      </c>
    </row>
    <row r="576" spans="1:12" ht="14.25" hidden="1" x14ac:dyDescent="0.2">
      <c r="A576" s="54"/>
      <c r="B576" s="60"/>
      <c r="C576" s="121" t="s">
        <v>620</v>
      </c>
      <c r="D576" s="121"/>
      <c r="E576" s="121"/>
      <c r="F576" s="121"/>
      <c r="G576" s="121"/>
      <c r="H576" s="121"/>
      <c r="I576" s="43"/>
      <c r="J576" s="54"/>
      <c r="K576" s="41"/>
      <c r="L576" s="43">
        <f>SUM(AY504:AY548)</f>
        <v>0</v>
      </c>
    </row>
    <row r="577" spans="1:82" ht="14.25" hidden="1" customHeight="1" x14ac:dyDescent="0.2">
      <c r="A577" s="54"/>
      <c r="B577" s="60"/>
      <c r="C577" s="121" t="s">
        <v>621</v>
      </c>
      <c r="D577" s="121"/>
      <c r="E577" s="121"/>
      <c r="F577" s="124"/>
      <c r="G577" s="44">
        <f>Source!F194</f>
        <v>0</v>
      </c>
      <c r="H577" s="54"/>
      <c r="I577" s="54"/>
      <c r="J577" s="54"/>
      <c r="K577" s="54"/>
      <c r="L577" s="54"/>
    </row>
    <row r="578" spans="1:82" ht="14.25" hidden="1" customHeight="1" x14ac:dyDescent="0.2">
      <c r="A578" s="54"/>
      <c r="B578" s="60"/>
      <c r="C578" s="121" t="s">
        <v>622</v>
      </c>
      <c r="D578" s="121"/>
      <c r="E578" s="121"/>
      <c r="F578" s="124"/>
      <c r="G578" s="44">
        <f>Source!F195</f>
        <v>0</v>
      </c>
      <c r="H578" s="54"/>
      <c r="I578" s="54"/>
      <c r="J578" s="54"/>
      <c r="K578" s="54"/>
      <c r="L578" s="54"/>
    </row>
    <row r="581" spans="1:82" ht="16.5" x14ac:dyDescent="0.2">
      <c r="A581" s="103" t="s">
        <v>633</v>
      </c>
      <c r="B581" s="103"/>
      <c r="C581" s="103"/>
      <c r="D581" s="103"/>
      <c r="E581" s="103"/>
      <c r="F581" s="103"/>
      <c r="G581" s="103"/>
      <c r="H581" s="103"/>
      <c r="I581" s="103"/>
      <c r="J581" s="103"/>
      <c r="K581" s="103"/>
      <c r="L581" s="103"/>
    </row>
    <row r="582" spans="1:82" ht="28.5" x14ac:dyDescent="0.2">
      <c r="A582" s="37" t="s">
        <v>256</v>
      </c>
      <c r="B582" s="39" t="s">
        <v>634</v>
      </c>
      <c r="C582" s="39" t="str">
        <f>Source!G206</f>
        <v>Фазировка электрической линии или трансформатора с сетью напряжением: до 1 кВ</v>
      </c>
      <c r="D582" s="40" t="str">
        <f>Source!H206</f>
        <v>ШТ</v>
      </c>
      <c r="E582" s="41">
        <f>Source!K206</f>
        <v>8</v>
      </c>
      <c r="F582" s="41"/>
      <c r="G582" s="41">
        <f>Source!I206</f>
        <v>8</v>
      </c>
      <c r="H582" s="43"/>
      <c r="I582" s="42"/>
      <c r="J582" s="43"/>
      <c r="K582" s="42"/>
      <c r="L582" s="43"/>
    </row>
    <row r="583" spans="1:82" ht="15" x14ac:dyDescent="0.2">
      <c r="A583" s="38"/>
      <c r="B583" s="41">
        <v>1</v>
      </c>
      <c r="C583" s="38" t="s">
        <v>571</v>
      </c>
      <c r="D583" s="40" t="s">
        <v>372</v>
      </c>
      <c r="E583" s="44"/>
      <c r="F583" s="41"/>
      <c r="G583" s="44">
        <f>Source!U206</f>
        <v>6.56</v>
      </c>
      <c r="H583" s="41"/>
      <c r="I583" s="41"/>
      <c r="J583" s="41"/>
      <c r="K583" s="41"/>
      <c r="L583" s="45">
        <f>SUM(L584:L585)-SUMIF(CE584:CE585, 1, L584:L585)</f>
        <v>4274.6200000000008</v>
      </c>
    </row>
    <row r="584" spans="1:82" ht="14.25" x14ac:dyDescent="0.2">
      <c r="A584" s="39"/>
      <c r="B584" s="39" t="s">
        <v>520</v>
      </c>
      <c r="C584" s="39" t="s">
        <v>521</v>
      </c>
      <c r="D584" s="40" t="s">
        <v>488</v>
      </c>
      <c r="E584" s="41">
        <v>0.41</v>
      </c>
      <c r="F584" s="41"/>
      <c r="G584" s="41">
        <f>SmtRes!CX175</f>
        <v>3.28</v>
      </c>
      <c r="H584" s="43"/>
      <c r="I584" s="42"/>
      <c r="J584" s="43">
        <f>SmtRes!CZ175</f>
        <v>658.94</v>
      </c>
      <c r="K584" s="42"/>
      <c r="L584" s="43">
        <f>SmtRes!DI175</f>
        <v>2161.3200000000002</v>
      </c>
    </row>
    <row r="585" spans="1:82" ht="14.25" x14ac:dyDescent="0.2">
      <c r="A585" s="39"/>
      <c r="B585" s="39" t="s">
        <v>522</v>
      </c>
      <c r="C585" s="46" t="s">
        <v>523</v>
      </c>
      <c r="D585" s="47" t="s">
        <v>488</v>
      </c>
      <c r="E585" s="48">
        <v>0.41</v>
      </c>
      <c r="F585" s="48"/>
      <c r="G585" s="48">
        <f>SmtRes!CX176</f>
        <v>3.28</v>
      </c>
      <c r="H585" s="49"/>
      <c r="I585" s="50"/>
      <c r="J585" s="49">
        <f>SmtRes!CZ176</f>
        <v>644.29999999999995</v>
      </c>
      <c r="K585" s="50"/>
      <c r="L585" s="49">
        <f>SmtRes!DI176</f>
        <v>2113.3000000000002</v>
      </c>
    </row>
    <row r="586" spans="1:82" ht="15" x14ac:dyDescent="0.2">
      <c r="A586" s="39"/>
      <c r="B586" s="39"/>
      <c r="C586" s="53" t="s">
        <v>576</v>
      </c>
      <c r="D586" s="40"/>
      <c r="E586" s="41"/>
      <c r="F586" s="41"/>
      <c r="G586" s="41"/>
      <c r="H586" s="43"/>
      <c r="I586" s="42"/>
      <c r="J586" s="43"/>
      <c r="K586" s="42"/>
      <c r="L586" s="43">
        <f>L583</f>
        <v>4274.6200000000008</v>
      </c>
    </row>
    <row r="587" spans="1:82" ht="14.25" x14ac:dyDescent="0.2">
      <c r="A587" s="39"/>
      <c r="B587" s="39"/>
      <c r="C587" s="39" t="s">
        <v>577</v>
      </c>
      <c r="D587" s="40"/>
      <c r="E587" s="41"/>
      <c r="F587" s="41"/>
      <c r="G587" s="41"/>
      <c r="H587" s="43"/>
      <c r="I587" s="42"/>
      <c r="J587" s="43"/>
      <c r="K587" s="42"/>
      <c r="L587" s="43">
        <f>SUM(AR582:AR590)+SUM(AS582:AS590)+SUM(AT582:AT590)+SUM(AU582:AU590)+SUM(AV582:AV590)</f>
        <v>4274.6200000000008</v>
      </c>
    </row>
    <row r="588" spans="1:82" ht="14.25" x14ac:dyDescent="0.2">
      <c r="A588" s="39"/>
      <c r="B588" s="39" t="s">
        <v>262</v>
      </c>
      <c r="C588" s="39" t="s">
        <v>635</v>
      </c>
      <c r="D588" s="40" t="s">
        <v>408</v>
      </c>
      <c r="E588" s="41">
        <f>Source!BZ206</f>
        <v>74</v>
      </c>
      <c r="F588" s="41"/>
      <c r="G588" s="41">
        <f>Source!AT206</f>
        <v>74</v>
      </c>
      <c r="H588" s="43"/>
      <c r="I588" s="42"/>
      <c r="J588" s="43"/>
      <c r="K588" s="42"/>
      <c r="L588" s="43">
        <f>SUM(AZ582:AZ590)</f>
        <v>3163.22</v>
      </c>
    </row>
    <row r="589" spans="1:82" ht="14.25" x14ac:dyDescent="0.2">
      <c r="A589" s="46"/>
      <c r="B589" s="46" t="s">
        <v>263</v>
      </c>
      <c r="C589" s="46" t="s">
        <v>636</v>
      </c>
      <c r="D589" s="47" t="s">
        <v>408</v>
      </c>
      <c r="E589" s="48">
        <f>Source!CA206</f>
        <v>36</v>
      </c>
      <c r="F589" s="48"/>
      <c r="G589" s="48">
        <f>Source!AU206</f>
        <v>36</v>
      </c>
      <c r="H589" s="49"/>
      <c r="I589" s="50"/>
      <c r="J589" s="49"/>
      <c r="K589" s="50"/>
      <c r="L589" s="49">
        <f>SUM(BA582:BA590)</f>
        <v>1538.86</v>
      </c>
    </row>
    <row r="590" spans="1:82" ht="15" x14ac:dyDescent="0.2">
      <c r="C590" s="104" t="s">
        <v>580</v>
      </c>
      <c r="D590" s="104"/>
      <c r="E590" s="104"/>
      <c r="F590" s="104"/>
      <c r="G590" s="104"/>
      <c r="H590" s="104"/>
      <c r="I590" s="105">
        <f>K590/E582</f>
        <v>1122.0875000000001</v>
      </c>
      <c r="J590" s="105"/>
      <c r="K590" s="105">
        <f>L583+L588+L589</f>
        <v>8976.7000000000007</v>
      </c>
      <c r="L590" s="105"/>
      <c r="AD590">
        <f>ROUND((Source!AT206/100)*((ROUND(SUMIF(SmtRes!AQ175:'SmtRes'!AQ176,"=1",SmtRes!AD175:'SmtRes'!AD176)*Source!I206, 2)+ROUND(SUMIF(SmtRes!AQ175:'SmtRes'!AQ176,"=1",SmtRes!AC175:'SmtRes'!AC176)*Source!I206, 2))), 2)</f>
        <v>7715.18</v>
      </c>
      <c r="AE590">
        <f>ROUND((Source!AU206/100)*((ROUND(SUMIF(SmtRes!AQ175:'SmtRes'!AQ176,"=1",SmtRes!AD175:'SmtRes'!AD176)*Source!I206, 2)+ROUND(SUMIF(SmtRes!AQ175:'SmtRes'!AQ176,"=1",SmtRes!AC175:'SmtRes'!AC176)*Source!I206, 2))), 2)</f>
        <v>3753.33</v>
      </c>
      <c r="AN590" s="51">
        <f>L583+L588+L589</f>
        <v>8976.7000000000007</v>
      </c>
      <c r="AO590">
        <f>0</f>
        <v>0</v>
      </c>
      <c r="AQ590" t="s">
        <v>581</v>
      </c>
      <c r="AR590" s="51">
        <f>L583</f>
        <v>4274.6200000000008</v>
      </c>
      <c r="AT590">
        <f>0</f>
        <v>0</v>
      </c>
      <c r="AV590" t="s">
        <v>581</v>
      </c>
      <c r="AW590">
        <f>0</f>
        <v>0</v>
      </c>
      <c r="AZ590">
        <f>Source!X206</f>
        <v>3163.22</v>
      </c>
      <c r="BA590">
        <f>Source!Y206</f>
        <v>1538.86</v>
      </c>
      <c r="BR590" s="51">
        <f>K590</f>
        <v>8976.7000000000007</v>
      </c>
      <c r="BU590">
        <f>ROUND(K590*80/100, 2)</f>
        <v>7181.36</v>
      </c>
      <c r="BV590" s="51">
        <f>K590-BU590</f>
        <v>1795.3400000000011</v>
      </c>
      <c r="CB590">
        <f>Source!BM206</f>
        <v>200001</v>
      </c>
      <c r="CC590" t="str">
        <f>Source!E206</f>
        <v>40</v>
      </c>
      <c r="CD590">
        <v>4</v>
      </c>
    </row>
    <row r="591" spans="1:82" ht="99.75" x14ac:dyDescent="0.2">
      <c r="A591" s="37" t="s">
        <v>264</v>
      </c>
      <c r="B591" s="39" t="s">
        <v>637</v>
      </c>
      <c r="C591" s="39" t="str">
        <f>Source!G207</f>
        <v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v>
      </c>
      <c r="D591" s="40" t="str">
        <f>Source!H207</f>
        <v>ШТ</v>
      </c>
      <c r="E591" s="41">
        <f>Source!K207</f>
        <v>8</v>
      </c>
      <c r="F591" s="41"/>
      <c r="G591" s="41">
        <f>Source!I207</f>
        <v>8</v>
      </c>
      <c r="H591" s="43"/>
      <c r="I591" s="42"/>
      <c r="J591" s="43"/>
      <c r="K591" s="42"/>
      <c r="L591" s="43"/>
    </row>
    <row r="592" spans="1:82" ht="15" x14ac:dyDescent="0.2">
      <c r="A592" s="38"/>
      <c r="B592" s="41">
        <v>1</v>
      </c>
      <c r="C592" s="38" t="s">
        <v>571</v>
      </c>
      <c r="D592" s="40" t="s">
        <v>372</v>
      </c>
      <c r="E592" s="44"/>
      <c r="F592" s="41"/>
      <c r="G592" s="44">
        <f>Source!U207</f>
        <v>2.56</v>
      </c>
      <c r="H592" s="41"/>
      <c r="I592" s="41"/>
      <c r="J592" s="41"/>
      <c r="K592" s="41"/>
      <c r="L592" s="45">
        <f>SUM(L593:L594)-SUMIF(CE593:CE594, 1, L593:L594)</f>
        <v>1668.14</v>
      </c>
    </row>
    <row r="593" spans="1:82" ht="14.25" x14ac:dyDescent="0.2">
      <c r="A593" s="39"/>
      <c r="B593" s="39" t="s">
        <v>520</v>
      </c>
      <c r="C593" s="39" t="s">
        <v>521</v>
      </c>
      <c r="D593" s="40" t="s">
        <v>488</v>
      </c>
      <c r="E593" s="41">
        <v>0.16</v>
      </c>
      <c r="F593" s="41"/>
      <c r="G593" s="41">
        <f>SmtRes!CX177</f>
        <v>1.28</v>
      </c>
      <c r="H593" s="43"/>
      <c r="I593" s="42"/>
      <c r="J593" s="43">
        <f>SmtRes!CZ177</f>
        <v>658.94</v>
      </c>
      <c r="K593" s="42"/>
      <c r="L593" s="43">
        <f>SmtRes!DI177</f>
        <v>843.44</v>
      </c>
    </row>
    <row r="594" spans="1:82" ht="14.25" x14ac:dyDescent="0.2">
      <c r="A594" s="39"/>
      <c r="B594" s="39" t="s">
        <v>522</v>
      </c>
      <c r="C594" s="46" t="s">
        <v>523</v>
      </c>
      <c r="D594" s="47" t="s">
        <v>488</v>
      </c>
      <c r="E594" s="48">
        <v>0.16</v>
      </c>
      <c r="F594" s="48"/>
      <c r="G594" s="48">
        <f>SmtRes!CX178</f>
        <v>1.28</v>
      </c>
      <c r="H594" s="49"/>
      <c r="I594" s="50"/>
      <c r="J594" s="49">
        <f>SmtRes!CZ178</f>
        <v>644.29999999999995</v>
      </c>
      <c r="K594" s="50"/>
      <c r="L594" s="49">
        <f>SmtRes!DI178</f>
        <v>824.7</v>
      </c>
    </row>
    <row r="595" spans="1:82" ht="15" x14ac:dyDescent="0.2">
      <c r="A595" s="39"/>
      <c r="B595" s="39"/>
      <c r="C595" s="53" t="s">
        <v>576</v>
      </c>
      <c r="D595" s="40"/>
      <c r="E595" s="41"/>
      <c r="F595" s="41"/>
      <c r="G595" s="41"/>
      <c r="H595" s="43"/>
      <c r="I595" s="42"/>
      <c r="J595" s="43"/>
      <c r="K595" s="42"/>
      <c r="L595" s="43">
        <f>L592</f>
        <v>1668.14</v>
      </c>
    </row>
    <row r="596" spans="1:82" ht="14.25" x14ac:dyDescent="0.2">
      <c r="A596" s="39"/>
      <c r="B596" s="39"/>
      <c r="C596" s="39" t="s">
        <v>577</v>
      </c>
      <c r="D596" s="40"/>
      <c r="E596" s="41"/>
      <c r="F596" s="41"/>
      <c r="G596" s="41"/>
      <c r="H596" s="43"/>
      <c r="I596" s="42"/>
      <c r="J596" s="43"/>
      <c r="K596" s="42"/>
      <c r="L596" s="43">
        <f>SUM(AR591:AR599)+SUM(AS591:AS599)+SUM(AT591:AT599)+SUM(AU591:AU599)+SUM(AV591:AV599)</f>
        <v>1668.14</v>
      </c>
    </row>
    <row r="597" spans="1:82" ht="14.25" x14ac:dyDescent="0.2">
      <c r="A597" s="39"/>
      <c r="B597" s="39" t="s">
        <v>262</v>
      </c>
      <c r="C597" s="39" t="s">
        <v>635</v>
      </c>
      <c r="D597" s="40" t="s">
        <v>408</v>
      </c>
      <c r="E597" s="41">
        <f>Source!BZ207</f>
        <v>74</v>
      </c>
      <c r="F597" s="41"/>
      <c r="G597" s="41">
        <f>Source!AT207</f>
        <v>74</v>
      </c>
      <c r="H597" s="43"/>
      <c r="I597" s="42"/>
      <c r="J597" s="43"/>
      <c r="K597" s="42"/>
      <c r="L597" s="43">
        <f>SUM(AZ591:AZ599)</f>
        <v>1234.42</v>
      </c>
    </row>
    <row r="598" spans="1:82" ht="14.25" x14ac:dyDescent="0.2">
      <c r="A598" s="46"/>
      <c r="B598" s="46" t="s">
        <v>263</v>
      </c>
      <c r="C598" s="46" t="s">
        <v>636</v>
      </c>
      <c r="D598" s="47" t="s">
        <v>408</v>
      </c>
      <c r="E598" s="48">
        <f>Source!CA207</f>
        <v>36</v>
      </c>
      <c r="F598" s="48"/>
      <c r="G598" s="48">
        <f>Source!AU207</f>
        <v>36</v>
      </c>
      <c r="H598" s="49"/>
      <c r="I598" s="50"/>
      <c r="J598" s="49"/>
      <c r="K598" s="50"/>
      <c r="L598" s="49">
        <f>SUM(BA591:BA599)</f>
        <v>600.53</v>
      </c>
    </row>
    <row r="599" spans="1:82" ht="15" x14ac:dyDescent="0.2">
      <c r="C599" s="104" t="s">
        <v>580</v>
      </c>
      <c r="D599" s="104"/>
      <c r="E599" s="104"/>
      <c r="F599" s="104"/>
      <c r="G599" s="104"/>
      <c r="H599" s="104"/>
      <c r="I599" s="105">
        <f>K599/E591</f>
        <v>437.88625000000002</v>
      </c>
      <c r="J599" s="105"/>
      <c r="K599" s="105">
        <f>L592+L597+L598</f>
        <v>3503.09</v>
      </c>
      <c r="L599" s="105"/>
      <c r="AD599">
        <f>ROUND((Source!AT207/100)*((ROUND(SUMIF(SmtRes!AQ177:'SmtRes'!AQ178,"=1",SmtRes!AD177:'SmtRes'!AD178)*Source!I207, 2)+ROUND(SUMIF(SmtRes!AQ177:'SmtRes'!AQ178,"=1",SmtRes!AC177:'SmtRes'!AC178)*Source!I207, 2))), 2)</f>
        <v>7715.18</v>
      </c>
      <c r="AE599">
        <f>ROUND((Source!AU207/100)*((ROUND(SUMIF(SmtRes!AQ177:'SmtRes'!AQ178,"=1",SmtRes!AD177:'SmtRes'!AD178)*Source!I207, 2)+ROUND(SUMIF(SmtRes!AQ177:'SmtRes'!AQ178,"=1",SmtRes!AC177:'SmtRes'!AC178)*Source!I207, 2))), 2)</f>
        <v>3753.33</v>
      </c>
      <c r="AN599" s="51">
        <f>L592+L597+L598</f>
        <v>3503.09</v>
      </c>
      <c r="AO599">
        <f>0</f>
        <v>0</v>
      </c>
      <c r="AQ599" t="s">
        <v>581</v>
      </c>
      <c r="AR599" s="51">
        <f>L592</f>
        <v>1668.14</v>
      </c>
      <c r="AT599">
        <f>0</f>
        <v>0</v>
      </c>
      <c r="AV599" t="s">
        <v>581</v>
      </c>
      <c r="AW599">
        <f>0</f>
        <v>0</v>
      </c>
      <c r="AZ599">
        <f>Source!X207</f>
        <v>1234.42</v>
      </c>
      <c r="BA599">
        <f>Source!Y207</f>
        <v>600.53</v>
      </c>
      <c r="BR599" s="51">
        <f>K599</f>
        <v>3503.09</v>
      </c>
      <c r="BU599">
        <f>ROUND(K599*80/100, 2)</f>
        <v>2802.47</v>
      </c>
      <c r="BV599" s="51">
        <f>K599-BU599</f>
        <v>700.62000000000035</v>
      </c>
      <c r="CB599">
        <f>Source!BM207</f>
        <v>200001</v>
      </c>
      <c r="CC599" t="str">
        <f>Source!E207</f>
        <v>41</v>
      </c>
      <c r="CD599">
        <v>4</v>
      </c>
    </row>
    <row r="600" spans="1:82" ht="28.5" x14ac:dyDescent="0.2">
      <c r="A600" s="37" t="s">
        <v>268</v>
      </c>
      <c r="B600" s="39" t="s">
        <v>638</v>
      </c>
      <c r="C600" s="39" t="str">
        <f>Source!G208</f>
        <v>Измерение сопротивления растеканию тока: заземлителя</v>
      </c>
      <c r="D600" s="40" t="str">
        <f>Source!H208</f>
        <v>измерение</v>
      </c>
      <c r="E600" s="41">
        <f>Source!K208</f>
        <v>12</v>
      </c>
      <c r="F600" s="41"/>
      <c r="G600" s="41">
        <f>Source!I208</f>
        <v>12</v>
      </c>
      <c r="H600" s="43"/>
      <c r="I600" s="42"/>
      <c r="J600" s="43"/>
      <c r="K600" s="42"/>
      <c r="L600" s="43"/>
    </row>
    <row r="601" spans="1:82" ht="15" x14ac:dyDescent="0.2">
      <c r="A601" s="38"/>
      <c r="B601" s="41">
        <v>1</v>
      </c>
      <c r="C601" s="38" t="s">
        <v>571</v>
      </c>
      <c r="D601" s="40" t="s">
        <v>372</v>
      </c>
      <c r="E601" s="44"/>
      <c r="F601" s="41"/>
      <c r="G601" s="44">
        <f>Source!U208</f>
        <v>12</v>
      </c>
      <c r="H601" s="41"/>
      <c r="I601" s="41"/>
      <c r="J601" s="41"/>
      <c r="K601" s="41"/>
      <c r="L601" s="45">
        <f>SUM(L602:L603)-SUMIF(CE602:CE603, 1, L602:L603)</f>
        <v>7819.4400000000005</v>
      </c>
    </row>
    <row r="602" spans="1:82" ht="14.25" x14ac:dyDescent="0.2">
      <c r="A602" s="39"/>
      <c r="B602" s="39" t="s">
        <v>520</v>
      </c>
      <c r="C602" s="39" t="s">
        <v>521</v>
      </c>
      <c r="D602" s="40" t="s">
        <v>488</v>
      </c>
      <c r="E602" s="41">
        <v>0.5</v>
      </c>
      <c r="F602" s="41"/>
      <c r="G602" s="41">
        <f>SmtRes!CX179</f>
        <v>6</v>
      </c>
      <c r="H602" s="43"/>
      <c r="I602" s="42"/>
      <c r="J602" s="43">
        <f>SmtRes!CZ179</f>
        <v>658.94</v>
      </c>
      <c r="K602" s="42"/>
      <c r="L602" s="43">
        <f>SmtRes!DI179</f>
        <v>3953.64</v>
      </c>
    </row>
    <row r="603" spans="1:82" ht="14.25" x14ac:dyDescent="0.2">
      <c r="A603" s="39"/>
      <c r="B603" s="39" t="s">
        <v>522</v>
      </c>
      <c r="C603" s="46" t="s">
        <v>523</v>
      </c>
      <c r="D603" s="47" t="s">
        <v>488</v>
      </c>
      <c r="E603" s="48">
        <v>0.5</v>
      </c>
      <c r="F603" s="48"/>
      <c r="G603" s="48">
        <f>SmtRes!CX180</f>
        <v>6</v>
      </c>
      <c r="H603" s="49"/>
      <c r="I603" s="50"/>
      <c r="J603" s="49">
        <f>SmtRes!CZ180</f>
        <v>644.29999999999995</v>
      </c>
      <c r="K603" s="50"/>
      <c r="L603" s="49">
        <f>SmtRes!DI180</f>
        <v>3865.8</v>
      </c>
    </row>
    <row r="604" spans="1:82" ht="15" x14ac:dyDescent="0.2">
      <c r="A604" s="39"/>
      <c r="B604" s="39"/>
      <c r="C604" s="53" t="s">
        <v>576</v>
      </c>
      <c r="D604" s="40"/>
      <c r="E604" s="41"/>
      <c r="F604" s="41"/>
      <c r="G604" s="41"/>
      <c r="H604" s="43"/>
      <c r="I604" s="42"/>
      <c r="J604" s="43"/>
      <c r="K604" s="42"/>
      <c r="L604" s="43">
        <f>L601</f>
        <v>7819.4400000000005</v>
      </c>
    </row>
    <row r="605" spans="1:82" ht="14.25" x14ac:dyDescent="0.2">
      <c r="A605" s="39"/>
      <c r="B605" s="39"/>
      <c r="C605" s="39" t="s">
        <v>577</v>
      </c>
      <c r="D605" s="40"/>
      <c r="E605" s="41"/>
      <c r="F605" s="41"/>
      <c r="G605" s="41"/>
      <c r="H605" s="43"/>
      <c r="I605" s="42"/>
      <c r="J605" s="43"/>
      <c r="K605" s="42"/>
      <c r="L605" s="43">
        <f>SUM(AR600:AR608)+SUM(AS600:AS608)+SUM(AT600:AT608)+SUM(AU600:AU608)+SUM(AV600:AV608)</f>
        <v>7819.4400000000005</v>
      </c>
    </row>
    <row r="606" spans="1:82" ht="14.25" x14ac:dyDescent="0.2">
      <c r="A606" s="39"/>
      <c r="B606" s="39" t="s">
        <v>262</v>
      </c>
      <c r="C606" s="39" t="s">
        <v>635</v>
      </c>
      <c r="D606" s="40" t="s">
        <v>408</v>
      </c>
      <c r="E606" s="41">
        <f>Source!BZ208</f>
        <v>74</v>
      </c>
      <c r="F606" s="41"/>
      <c r="G606" s="41">
        <f>Source!AT208</f>
        <v>74</v>
      </c>
      <c r="H606" s="43"/>
      <c r="I606" s="42"/>
      <c r="J606" s="43"/>
      <c r="K606" s="42"/>
      <c r="L606" s="43">
        <f>SUM(AZ600:AZ608)</f>
        <v>5786.39</v>
      </c>
    </row>
    <row r="607" spans="1:82" ht="14.25" x14ac:dyDescent="0.2">
      <c r="A607" s="46"/>
      <c r="B607" s="46" t="s">
        <v>263</v>
      </c>
      <c r="C607" s="46" t="s">
        <v>636</v>
      </c>
      <c r="D607" s="47" t="s">
        <v>408</v>
      </c>
      <c r="E607" s="48">
        <f>Source!CA208</f>
        <v>36</v>
      </c>
      <c r="F607" s="48"/>
      <c r="G607" s="48">
        <f>Source!AU208</f>
        <v>36</v>
      </c>
      <c r="H607" s="49"/>
      <c r="I607" s="50"/>
      <c r="J607" s="49"/>
      <c r="K607" s="50"/>
      <c r="L607" s="49">
        <f>SUM(BA600:BA608)</f>
        <v>2815</v>
      </c>
    </row>
    <row r="608" spans="1:82" ht="15" x14ac:dyDescent="0.2">
      <c r="C608" s="104" t="s">
        <v>580</v>
      </c>
      <c r="D608" s="104"/>
      <c r="E608" s="104"/>
      <c r="F608" s="104"/>
      <c r="G608" s="104"/>
      <c r="H608" s="104"/>
      <c r="I608" s="105">
        <f>K608/E600</f>
        <v>1368.4025000000001</v>
      </c>
      <c r="J608" s="105"/>
      <c r="K608" s="105">
        <f>L601+L606+L607</f>
        <v>16420.830000000002</v>
      </c>
      <c r="L608" s="105"/>
      <c r="AD608">
        <f>ROUND((Source!AT208/100)*((ROUND(SUMIF(SmtRes!AQ179:'SmtRes'!AQ180,"=1",SmtRes!AD179:'SmtRes'!AD180)*Source!I208, 2)+ROUND(SUMIF(SmtRes!AQ179:'SmtRes'!AQ180,"=1",SmtRes!AC179:'SmtRes'!AC180)*Source!I208, 2))), 2)</f>
        <v>11572.77</v>
      </c>
      <c r="AE608">
        <f>ROUND((Source!AU208/100)*((ROUND(SUMIF(SmtRes!AQ179:'SmtRes'!AQ180,"=1",SmtRes!AD179:'SmtRes'!AD180)*Source!I208, 2)+ROUND(SUMIF(SmtRes!AQ179:'SmtRes'!AQ180,"=1",SmtRes!AC179:'SmtRes'!AC180)*Source!I208, 2))), 2)</f>
        <v>5630</v>
      </c>
      <c r="AN608" s="51">
        <f>L601+L606+L607</f>
        <v>16420.830000000002</v>
      </c>
      <c r="AO608">
        <f>0</f>
        <v>0</v>
      </c>
      <c r="AQ608" t="s">
        <v>581</v>
      </c>
      <c r="AR608" s="51">
        <f>L601</f>
        <v>7819.4400000000005</v>
      </c>
      <c r="AT608">
        <f>0</f>
        <v>0</v>
      </c>
      <c r="AV608" t="s">
        <v>581</v>
      </c>
      <c r="AW608">
        <f>0</f>
        <v>0</v>
      </c>
      <c r="AZ608">
        <f>Source!X208</f>
        <v>5786.39</v>
      </c>
      <c r="BA608">
        <f>Source!Y208</f>
        <v>2815</v>
      </c>
      <c r="BR608" s="51">
        <f>K608</f>
        <v>16420.830000000002</v>
      </c>
      <c r="BU608">
        <f>ROUND(K608*80/100, 2)</f>
        <v>13136.66</v>
      </c>
      <c r="BV608" s="51">
        <f>K608-BU608</f>
        <v>3284.1700000000019</v>
      </c>
      <c r="CB608">
        <f>Source!BM208</f>
        <v>200001</v>
      </c>
      <c r="CC608" t="str">
        <f>Source!E208</f>
        <v>42</v>
      </c>
      <c r="CD608">
        <v>4</v>
      </c>
    </row>
    <row r="609" spans="1:82" ht="28.5" x14ac:dyDescent="0.2">
      <c r="A609" s="37" t="s">
        <v>273</v>
      </c>
      <c r="B609" s="39" t="s">
        <v>639</v>
      </c>
      <c r="C609" s="39" t="str">
        <f>Source!G209</f>
        <v>Измерение сопротивления растеканию тока: контура с диагональю до 20 м</v>
      </c>
      <c r="D609" s="40" t="str">
        <f>Source!H209</f>
        <v>измерение</v>
      </c>
      <c r="E609" s="41">
        <f>Source!K209</f>
        <v>12</v>
      </c>
      <c r="F609" s="41"/>
      <c r="G609" s="41">
        <f>Source!I209</f>
        <v>12</v>
      </c>
      <c r="H609" s="43"/>
      <c r="I609" s="42"/>
      <c r="J609" s="43"/>
      <c r="K609" s="42"/>
      <c r="L609" s="43"/>
    </row>
    <row r="610" spans="1:82" ht="15" x14ac:dyDescent="0.2">
      <c r="A610" s="38"/>
      <c r="B610" s="41">
        <v>1</v>
      </c>
      <c r="C610" s="38" t="s">
        <v>571</v>
      </c>
      <c r="D610" s="40" t="s">
        <v>372</v>
      </c>
      <c r="E610" s="44"/>
      <c r="F610" s="41"/>
      <c r="G610" s="44">
        <f>Source!U209</f>
        <v>19.440000000000001</v>
      </c>
      <c r="H610" s="41"/>
      <c r="I610" s="41"/>
      <c r="J610" s="41"/>
      <c r="K610" s="41"/>
      <c r="L610" s="45">
        <f>SUM(L611:L612)-SUMIF(CE611:CE612, 1, L611:L612)</f>
        <v>12667.5</v>
      </c>
    </row>
    <row r="611" spans="1:82" ht="14.25" x14ac:dyDescent="0.2">
      <c r="A611" s="39"/>
      <c r="B611" s="39" t="s">
        <v>520</v>
      </c>
      <c r="C611" s="39" t="s">
        <v>521</v>
      </c>
      <c r="D611" s="40" t="s">
        <v>488</v>
      </c>
      <c r="E611" s="41">
        <v>0.81</v>
      </c>
      <c r="F611" s="41"/>
      <c r="G611" s="41">
        <f>SmtRes!CX181</f>
        <v>9.7200000000000006</v>
      </c>
      <c r="H611" s="43"/>
      <c r="I611" s="42"/>
      <c r="J611" s="43">
        <f>SmtRes!CZ181</f>
        <v>658.94</v>
      </c>
      <c r="K611" s="42"/>
      <c r="L611" s="43">
        <f>SmtRes!DI181</f>
        <v>6404.9</v>
      </c>
    </row>
    <row r="612" spans="1:82" ht="14.25" x14ac:dyDescent="0.2">
      <c r="A612" s="39"/>
      <c r="B612" s="39" t="s">
        <v>522</v>
      </c>
      <c r="C612" s="46" t="s">
        <v>523</v>
      </c>
      <c r="D612" s="47" t="s">
        <v>488</v>
      </c>
      <c r="E612" s="48">
        <v>0.81</v>
      </c>
      <c r="F612" s="48"/>
      <c r="G612" s="48">
        <f>SmtRes!CX182</f>
        <v>9.7200000000000006</v>
      </c>
      <c r="H612" s="49"/>
      <c r="I612" s="50"/>
      <c r="J612" s="49">
        <f>SmtRes!CZ182</f>
        <v>644.29999999999995</v>
      </c>
      <c r="K612" s="50"/>
      <c r="L612" s="49">
        <f>SmtRes!DI182</f>
        <v>6262.6</v>
      </c>
    </row>
    <row r="613" spans="1:82" ht="15" x14ac:dyDescent="0.2">
      <c r="A613" s="39"/>
      <c r="B613" s="39"/>
      <c r="C613" s="53" t="s">
        <v>576</v>
      </c>
      <c r="D613" s="40"/>
      <c r="E613" s="41"/>
      <c r="F613" s="41"/>
      <c r="G613" s="41"/>
      <c r="H613" s="43"/>
      <c r="I613" s="42"/>
      <c r="J613" s="43"/>
      <c r="K613" s="42"/>
      <c r="L613" s="43">
        <f>L610</f>
        <v>12667.5</v>
      </c>
    </row>
    <row r="614" spans="1:82" ht="14.25" x14ac:dyDescent="0.2">
      <c r="A614" s="39"/>
      <c r="B614" s="39"/>
      <c r="C614" s="39" t="s">
        <v>577</v>
      </c>
      <c r="D614" s="40"/>
      <c r="E614" s="41"/>
      <c r="F614" s="41"/>
      <c r="G614" s="41"/>
      <c r="H614" s="43"/>
      <c r="I614" s="42"/>
      <c r="J614" s="43"/>
      <c r="K614" s="42"/>
      <c r="L614" s="43">
        <f>SUM(AR609:AR617)+SUM(AS609:AS617)+SUM(AT609:AT617)+SUM(AU609:AU617)+SUM(AV609:AV617)</f>
        <v>12667.5</v>
      </c>
    </row>
    <row r="615" spans="1:82" ht="14.25" x14ac:dyDescent="0.2">
      <c r="A615" s="39"/>
      <c r="B615" s="39" t="s">
        <v>262</v>
      </c>
      <c r="C615" s="39" t="s">
        <v>635</v>
      </c>
      <c r="D615" s="40" t="s">
        <v>408</v>
      </c>
      <c r="E615" s="41">
        <f>Source!BZ209</f>
        <v>74</v>
      </c>
      <c r="F615" s="41"/>
      <c r="G615" s="41">
        <f>Source!AT209</f>
        <v>74</v>
      </c>
      <c r="H615" s="43"/>
      <c r="I615" s="42"/>
      <c r="J615" s="43"/>
      <c r="K615" s="42"/>
      <c r="L615" s="43">
        <f>SUM(AZ609:AZ617)</f>
        <v>9373.9500000000007</v>
      </c>
    </row>
    <row r="616" spans="1:82" ht="14.25" x14ac:dyDescent="0.2">
      <c r="A616" s="46"/>
      <c r="B616" s="46" t="s">
        <v>263</v>
      </c>
      <c r="C616" s="46" t="s">
        <v>636</v>
      </c>
      <c r="D616" s="47" t="s">
        <v>408</v>
      </c>
      <c r="E616" s="48">
        <f>Source!CA209</f>
        <v>36</v>
      </c>
      <c r="F616" s="48"/>
      <c r="G616" s="48">
        <f>Source!AU209</f>
        <v>36</v>
      </c>
      <c r="H616" s="49"/>
      <c r="I616" s="50"/>
      <c r="J616" s="49"/>
      <c r="K616" s="50"/>
      <c r="L616" s="49">
        <f>SUM(BA609:BA617)</f>
        <v>4560.3</v>
      </c>
    </row>
    <row r="617" spans="1:82" ht="15" x14ac:dyDescent="0.2">
      <c r="C617" s="104" t="s">
        <v>580</v>
      </c>
      <c r="D617" s="104"/>
      <c r="E617" s="104"/>
      <c r="F617" s="104"/>
      <c r="G617" s="104"/>
      <c r="H617" s="104"/>
      <c r="I617" s="105">
        <f>K617/E609</f>
        <v>2216.8125</v>
      </c>
      <c r="J617" s="105"/>
      <c r="K617" s="105">
        <f>L610+L615+L616</f>
        <v>26601.75</v>
      </c>
      <c r="L617" s="105"/>
      <c r="AD617">
        <f>ROUND((Source!AT209/100)*((ROUND(SUMIF(SmtRes!AQ181:'SmtRes'!AQ182,"=1",SmtRes!AD181:'SmtRes'!AD182)*Source!I209, 2)+ROUND(SUMIF(SmtRes!AQ181:'SmtRes'!AQ182,"=1",SmtRes!AC181:'SmtRes'!AC182)*Source!I209, 2))), 2)</f>
        <v>11572.77</v>
      </c>
      <c r="AE617">
        <f>ROUND((Source!AU209/100)*((ROUND(SUMIF(SmtRes!AQ181:'SmtRes'!AQ182,"=1",SmtRes!AD181:'SmtRes'!AD182)*Source!I209, 2)+ROUND(SUMIF(SmtRes!AQ181:'SmtRes'!AQ182,"=1",SmtRes!AC181:'SmtRes'!AC182)*Source!I209, 2))), 2)</f>
        <v>5630</v>
      </c>
      <c r="AN617" s="51">
        <f>L610+L615+L616</f>
        <v>26601.75</v>
      </c>
      <c r="AO617">
        <f>0</f>
        <v>0</v>
      </c>
      <c r="AQ617" t="s">
        <v>581</v>
      </c>
      <c r="AR617" s="51">
        <f>L610</f>
        <v>12667.5</v>
      </c>
      <c r="AT617">
        <f>0</f>
        <v>0</v>
      </c>
      <c r="AV617" t="s">
        <v>581</v>
      </c>
      <c r="AW617">
        <f>0</f>
        <v>0</v>
      </c>
      <c r="AZ617">
        <f>Source!X209</f>
        <v>9373.9500000000007</v>
      </c>
      <c r="BA617">
        <f>Source!Y209</f>
        <v>4560.3</v>
      </c>
      <c r="BR617" s="51">
        <f>K617</f>
        <v>26601.75</v>
      </c>
      <c r="BU617">
        <f>ROUND(K617*80/100, 2)</f>
        <v>21281.4</v>
      </c>
      <c r="BV617" s="51">
        <f>K617-BU617</f>
        <v>5320.3499999999985</v>
      </c>
      <c r="CB617">
        <f>Source!BM209</f>
        <v>200001</v>
      </c>
      <c r="CC617" t="str">
        <f>Source!E209</f>
        <v>43</v>
      </c>
      <c r="CD617">
        <v>4</v>
      </c>
    </row>
    <row r="618" spans="1:82" ht="28.5" x14ac:dyDescent="0.2">
      <c r="A618" s="37" t="s">
        <v>277</v>
      </c>
      <c r="B618" s="39" t="s">
        <v>640</v>
      </c>
      <c r="C618" s="39" t="str">
        <f>Source!G210</f>
        <v>Определение удельного сопротивления грунта</v>
      </c>
      <c r="D618" s="40" t="str">
        <f>Source!H210</f>
        <v>измерение</v>
      </c>
      <c r="E618" s="41">
        <f>Source!K210</f>
        <v>12</v>
      </c>
      <c r="F618" s="41"/>
      <c r="G618" s="41">
        <f>Source!I210</f>
        <v>12</v>
      </c>
      <c r="H618" s="43"/>
      <c r="I618" s="42"/>
      <c r="J618" s="43"/>
      <c r="K618" s="42"/>
      <c r="L618" s="43"/>
    </row>
    <row r="619" spans="1:82" ht="15" x14ac:dyDescent="0.2">
      <c r="A619" s="38"/>
      <c r="B619" s="41">
        <v>1</v>
      </c>
      <c r="C619" s="38" t="s">
        <v>571</v>
      </c>
      <c r="D619" s="40" t="s">
        <v>372</v>
      </c>
      <c r="E619" s="44"/>
      <c r="F619" s="41"/>
      <c r="G619" s="44">
        <f>Source!U210</f>
        <v>38.880000000000003</v>
      </c>
      <c r="H619" s="41"/>
      <c r="I619" s="41"/>
      <c r="J619" s="41"/>
      <c r="K619" s="41"/>
      <c r="L619" s="45">
        <f>SUM(L620:L621)-SUMIF(CE620:CE621, 1, L620:L621)</f>
        <v>25334.980000000003</v>
      </c>
    </row>
    <row r="620" spans="1:82" ht="14.25" x14ac:dyDescent="0.2">
      <c r="A620" s="39"/>
      <c r="B620" s="39" t="s">
        <v>520</v>
      </c>
      <c r="C620" s="39" t="s">
        <v>521</v>
      </c>
      <c r="D620" s="40" t="s">
        <v>488</v>
      </c>
      <c r="E620" s="41">
        <v>1.62</v>
      </c>
      <c r="F620" s="41"/>
      <c r="G620" s="41">
        <f>SmtRes!CX183</f>
        <v>19.440000000000001</v>
      </c>
      <c r="H620" s="43"/>
      <c r="I620" s="42"/>
      <c r="J620" s="43">
        <f>SmtRes!CZ183</f>
        <v>658.94</v>
      </c>
      <c r="K620" s="42"/>
      <c r="L620" s="43">
        <f>SmtRes!DI183</f>
        <v>12809.79</v>
      </c>
    </row>
    <row r="621" spans="1:82" ht="14.25" x14ac:dyDescent="0.2">
      <c r="A621" s="39"/>
      <c r="B621" s="39" t="s">
        <v>522</v>
      </c>
      <c r="C621" s="46" t="s">
        <v>523</v>
      </c>
      <c r="D621" s="47" t="s">
        <v>488</v>
      </c>
      <c r="E621" s="48">
        <v>1.62</v>
      </c>
      <c r="F621" s="48"/>
      <c r="G621" s="48">
        <f>SmtRes!CX184</f>
        <v>19.440000000000001</v>
      </c>
      <c r="H621" s="49"/>
      <c r="I621" s="50"/>
      <c r="J621" s="49">
        <f>SmtRes!CZ184</f>
        <v>644.29999999999995</v>
      </c>
      <c r="K621" s="50"/>
      <c r="L621" s="49">
        <f>SmtRes!DI184</f>
        <v>12525.19</v>
      </c>
    </row>
    <row r="622" spans="1:82" ht="15" x14ac:dyDescent="0.2">
      <c r="A622" s="39"/>
      <c r="B622" s="39"/>
      <c r="C622" s="53" t="s">
        <v>576</v>
      </c>
      <c r="D622" s="40"/>
      <c r="E622" s="41"/>
      <c r="F622" s="41"/>
      <c r="G622" s="41"/>
      <c r="H622" s="43"/>
      <c r="I622" s="42"/>
      <c r="J622" s="43"/>
      <c r="K622" s="42"/>
      <c r="L622" s="43">
        <f>L619</f>
        <v>25334.980000000003</v>
      </c>
    </row>
    <row r="623" spans="1:82" ht="14.25" x14ac:dyDescent="0.2">
      <c r="A623" s="39"/>
      <c r="B623" s="39"/>
      <c r="C623" s="39" t="s">
        <v>577</v>
      </c>
      <c r="D623" s="40"/>
      <c r="E623" s="41"/>
      <c r="F623" s="41"/>
      <c r="G623" s="41"/>
      <c r="H623" s="43"/>
      <c r="I623" s="42"/>
      <c r="J623" s="43"/>
      <c r="K623" s="42"/>
      <c r="L623" s="43">
        <f>SUM(AR618:AR626)+SUM(AS618:AS626)+SUM(AT618:AT626)+SUM(AU618:AU626)+SUM(AV618:AV626)</f>
        <v>25334.980000000003</v>
      </c>
    </row>
    <row r="624" spans="1:82" ht="14.25" x14ac:dyDescent="0.2">
      <c r="A624" s="39"/>
      <c r="B624" s="39" t="s">
        <v>262</v>
      </c>
      <c r="C624" s="39" t="s">
        <v>635</v>
      </c>
      <c r="D624" s="40" t="s">
        <v>408</v>
      </c>
      <c r="E624" s="41">
        <f>Source!BZ210</f>
        <v>74</v>
      </c>
      <c r="F624" s="41"/>
      <c r="G624" s="41">
        <f>Source!AT210</f>
        <v>74</v>
      </c>
      <c r="H624" s="43"/>
      <c r="I624" s="42"/>
      <c r="J624" s="43"/>
      <c r="K624" s="42"/>
      <c r="L624" s="43">
        <f>SUM(AZ618:AZ626)</f>
        <v>18747.89</v>
      </c>
    </row>
    <row r="625" spans="1:82" ht="14.25" x14ac:dyDescent="0.2">
      <c r="A625" s="46"/>
      <c r="B625" s="46" t="s">
        <v>263</v>
      </c>
      <c r="C625" s="46" t="s">
        <v>636</v>
      </c>
      <c r="D625" s="47" t="s">
        <v>408</v>
      </c>
      <c r="E625" s="48">
        <f>Source!CA210</f>
        <v>36</v>
      </c>
      <c r="F625" s="48"/>
      <c r="G625" s="48">
        <f>Source!AU210</f>
        <v>36</v>
      </c>
      <c r="H625" s="49"/>
      <c r="I625" s="50"/>
      <c r="J625" s="49"/>
      <c r="K625" s="50"/>
      <c r="L625" s="49">
        <f>SUM(BA618:BA626)</f>
        <v>9120.59</v>
      </c>
    </row>
    <row r="626" spans="1:82" ht="15" x14ac:dyDescent="0.2">
      <c r="C626" s="104" t="s">
        <v>580</v>
      </c>
      <c r="D626" s="104"/>
      <c r="E626" s="104"/>
      <c r="F626" s="104"/>
      <c r="G626" s="104"/>
      <c r="H626" s="104"/>
      <c r="I626" s="105">
        <f>K626/E618</f>
        <v>4433.6216666666669</v>
      </c>
      <c r="J626" s="105"/>
      <c r="K626" s="105">
        <f>L619+L624+L625</f>
        <v>53203.460000000006</v>
      </c>
      <c r="L626" s="105"/>
      <c r="AD626">
        <f>ROUND((Source!AT210/100)*((ROUND(SUMIF(SmtRes!AQ183:'SmtRes'!AQ184,"=1",SmtRes!AD183:'SmtRes'!AD184)*Source!I210, 2)+ROUND(SUMIF(SmtRes!AQ183:'SmtRes'!AQ184,"=1",SmtRes!AC183:'SmtRes'!AC184)*Source!I210, 2))), 2)</f>
        <v>11572.77</v>
      </c>
      <c r="AE626">
        <f>ROUND((Source!AU210/100)*((ROUND(SUMIF(SmtRes!AQ183:'SmtRes'!AQ184,"=1",SmtRes!AD183:'SmtRes'!AD184)*Source!I210, 2)+ROUND(SUMIF(SmtRes!AQ183:'SmtRes'!AQ184,"=1",SmtRes!AC183:'SmtRes'!AC184)*Source!I210, 2))), 2)</f>
        <v>5630</v>
      </c>
      <c r="AN626" s="51">
        <f>L619+L624+L625</f>
        <v>53203.460000000006</v>
      </c>
      <c r="AO626">
        <f>0</f>
        <v>0</v>
      </c>
      <c r="AQ626" t="s">
        <v>581</v>
      </c>
      <c r="AR626" s="51">
        <f>L619</f>
        <v>25334.980000000003</v>
      </c>
      <c r="AT626">
        <f>0</f>
        <v>0</v>
      </c>
      <c r="AV626" t="s">
        <v>581</v>
      </c>
      <c r="AW626">
        <f>0</f>
        <v>0</v>
      </c>
      <c r="AZ626">
        <f>Source!X210</f>
        <v>18747.89</v>
      </c>
      <c r="BA626">
        <f>Source!Y210</f>
        <v>9120.59</v>
      </c>
      <c r="BR626" s="51">
        <f>K626</f>
        <v>53203.460000000006</v>
      </c>
      <c r="BU626">
        <f>ROUND(K626*80/100, 2)</f>
        <v>42562.77</v>
      </c>
      <c r="BV626" s="51">
        <f>K626-BU626</f>
        <v>10640.69000000001</v>
      </c>
      <c r="CB626">
        <f>Source!BM210</f>
        <v>200001</v>
      </c>
      <c r="CC626" t="str">
        <f>Source!E210</f>
        <v>44</v>
      </c>
      <c r="CD626">
        <v>4</v>
      </c>
    </row>
    <row r="627" spans="1:82" ht="42.75" x14ac:dyDescent="0.2">
      <c r="A627" s="37" t="s">
        <v>281</v>
      </c>
      <c r="B627" s="39" t="s">
        <v>641</v>
      </c>
      <c r="C627" s="39" t="str">
        <f>Source!G211</f>
        <v>Проверка наличия цепи между заземлителями и заземленными элементами</v>
      </c>
      <c r="D627" s="40" t="str">
        <f>Source!H211</f>
        <v>100 измерений</v>
      </c>
      <c r="E627" s="41">
        <f>Source!K211</f>
        <v>0.12</v>
      </c>
      <c r="F627" s="41"/>
      <c r="G627" s="41">
        <f>Source!I211</f>
        <v>0.12</v>
      </c>
      <c r="H627" s="43"/>
      <c r="I627" s="42"/>
      <c r="J627" s="43"/>
      <c r="K627" s="42"/>
      <c r="L627" s="43"/>
    </row>
    <row r="628" spans="1:82" x14ac:dyDescent="0.2">
      <c r="C628" s="60" t="str">
        <f>"Объем: "&amp;Source!I211&amp;"=12/"&amp;"100"</f>
        <v>Объем: 0,12=12/100</v>
      </c>
    </row>
    <row r="629" spans="1:82" ht="15" x14ac:dyDescent="0.2">
      <c r="A629" s="38"/>
      <c r="B629" s="41">
        <v>1</v>
      </c>
      <c r="C629" s="38" t="s">
        <v>571</v>
      </c>
      <c r="D629" s="40" t="s">
        <v>372</v>
      </c>
      <c r="E629" s="44"/>
      <c r="F629" s="41"/>
      <c r="G629" s="44">
        <f>Source!U211</f>
        <v>1.5551999999999999</v>
      </c>
      <c r="H629" s="41"/>
      <c r="I629" s="41"/>
      <c r="J629" s="41"/>
      <c r="K629" s="41"/>
      <c r="L629" s="45">
        <f>SUM(L630:L631)-SUMIF(CE630:CE631, 1, L630:L631)</f>
        <v>1013.4</v>
      </c>
    </row>
    <row r="630" spans="1:82" ht="14.25" x14ac:dyDescent="0.2">
      <c r="A630" s="39"/>
      <c r="B630" s="39" t="s">
        <v>520</v>
      </c>
      <c r="C630" s="39" t="s">
        <v>521</v>
      </c>
      <c r="D630" s="40" t="s">
        <v>488</v>
      </c>
      <c r="E630" s="41">
        <v>6.48</v>
      </c>
      <c r="F630" s="41"/>
      <c r="G630" s="41">
        <f>SmtRes!CX185</f>
        <v>0.77759999999999996</v>
      </c>
      <c r="H630" s="43"/>
      <c r="I630" s="42"/>
      <c r="J630" s="43">
        <f>SmtRes!CZ185</f>
        <v>658.94</v>
      </c>
      <c r="K630" s="42"/>
      <c r="L630" s="43">
        <f>SmtRes!DI185</f>
        <v>512.39</v>
      </c>
    </row>
    <row r="631" spans="1:82" ht="14.25" x14ac:dyDescent="0.2">
      <c r="A631" s="39"/>
      <c r="B631" s="39" t="s">
        <v>522</v>
      </c>
      <c r="C631" s="46" t="s">
        <v>523</v>
      </c>
      <c r="D631" s="47" t="s">
        <v>488</v>
      </c>
      <c r="E631" s="48">
        <v>6.48</v>
      </c>
      <c r="F631" s="48"/>
      <c r="G631" s="48">
        <f>SmtRes!CX186</f>
        <v>0.77759999999999996</v>
      </c>
      <c r="H631" s="49"/>
      <c r="I631" s="50"/>
      <c r="J631" s="49">
        <f>SmtRes!CZ186</f>
        <v>644.29999999999995</v>
      </c>
      <c r="K631" s="50"/>
      <c r="L631" s="49">
        <f>SmtRes!DI186</f>
        <v>501.01</v>
      </c>
    </row>
    <row r="632" spans="1:82" ht="15" x14ac:dyDescent="0.2">
      <c r="A632" s="39"/>
      <c r="B632" s="39"/>
      <c r="C632" s="53" t="s">
        <v>576</v>
      </c>
      <c r="D632" s="40"/>
      <c r="E632" s="41"/>
      <c r="F632" s="41"/>
      <c r="G632" s="41"/>
      <c r="H632" s="43"/>
      <c r="I632" s="42"/>
      <c r="J632" s="43"/>
      <c r="K632" s="42"/>
      <c r="L632" s="43">
        <f>L629</f>
        <v>1013.4</v>
      </c>
    </row>
    <row r="633" spans="1:82" ht="14.25" x14ac:dyDescent="0.2">
      <c r="A633" s="39"/>
      <c r="B633" s="39"/>
      <c r="C633" s="39" t="s">
        <v>577</v>
      </c>
      <c r="D633" s="40"/>
      <c r="E633" s="41"/>
      <c r="F633" s="41"/>
      <c r="G633" s="41"/>
      <c r="H633" s="43"/>
      <c r="I633" s="42"/>
      <c r="J633" s="43"/>
      <c r="K633" s="42"/>
      <c r="L633" s="43">
        <f>SUM(AR627:AR636)+SUM(AS627:AS636)+SUM(AT627:AT636)+SUM(AU627:AU636)+SUM(AV627:AV636)</f>
        <v>1013.4</v>
      </c>
    </row>
    <row r="634" spans="1:82" ht="14.25" x14ac:dyDescent="0.2">
      <c r="A634" s="39"/>
      <c r="B634" s="39" t="s">
        <v>262</v>
      </c>
      <c r="C634" s="39" t="s">
        <v>635</v>
      </c>
      <c r="D634" s="40" t="s">
        <v>408</v>
      </c>
      <c r="E634" s="41">
        <f>Source!BZ211</f>
        <v>74</v>
      </c>
      <c r="F634" s="41"/>
      <c r="G634" s="41">
        <f>Source!AT211</f>
        <v>74</v>
      </c>
      <c r="H634" s="43"/>
      <c r="I634" s="42"/>
      <c r="J634" s="43"/>
      <c r="K634" s="42"/>
      <c r="L634" s="43">
        <f>SUM(AZ627:AZ636)</f>
        <v>749.92</v>
      </c>
    </row>
    <row r="635" spans="1:82" ht="14.25" x14ac:dyDescent="0.2">
      <c r="A635" s="46"/>
      <c r="B635" s="46" t="s">
        <v>263</v>
      </c>
      <c r="C635" s="46" t="s">
        <v>636</v>
      </c>
      <c r="D635" s="47" t="s">
        <v>408</v>
      </c>
      <c r="E635" s="48">
        <f>Source!CA211</f>
        <v>36</v>
      </c>
      <c r="F635" s="48"/>
      <c r="G635" s="48">
        <f>Source!AU211</f>
        <v>36</v>
      </c>
      <c r="H635" s="49"/>
      <c r="I635" s="50"/>
      <c r="J635" s="49"/>
      <c r="K635" s="50"/>
      <c r="L635" s="49">
        <f>SUM(BA627:BA636)</f>
        <v>364.82</v>
      </c>
    </row>
    <row r="636" spans="1:82" ht="15" x14ac:dyDescent="0.2">
      <c r="C636" s="104" t="s">
        <v>580</v>
      </c>
      <c r="D636" s="104"/>
      <c r="E636" s="104"/>
      <c r="F636" s="104"/>
      <c r="G636" s="104"/>
      <c r="H636" s="104"/>
      <c r="I636" s="105">
        <f>K636/E627</f>
        <v>17734.5</v>
      </c>
      <c r="J636" s="105"/>
      <c r="K636" s="105">
        <f>L629+L634+L635</f>
        <v>2128.14</v>
      </c>
      <c r="L636" s="105"/>
      <c r="AD636">
        <f>ROUND((Source!AT211/100)*((ROUND(SUMIF(SmtRes!AQ185:'SmtRes'!AQ186,"=1",SmtRes!AD185:'SmtRes'!AD186)*Source!I211, 2)+ROUND(SUMIF(SmtRes!AQ185:'SmtRes'!AQ186,"=1",SmtRes!AC185:'SmtRes'!AC186)*Source!I211, 2))), 2)</f>
        <v>115.73</v>
      </c>
      <c r="AE636">
        <f>ROUND((Source!AU211/100)*((ROUND(SUMIF(SmtRes!AQ185:'SmtRes'!AQ186,"=1",SmtRes!AD185:'SmtRes'!AD186)*Source!I211, 2)+ROUND(SUMIF(SmtRes!AQ185:'SmtRes'!AQ186,"=1",SmtRes!AC185:'SmtRes'!AC186)*Source!I211, 2))), 2)</f>
        <v>56.3</v>
      </c>
      <c r="AN636" s="51">
        <f>L629+L634+L635</f>
        <v>2128.14</v>
      </c>
      <c r="AO636">
        <f>0</f>
        <v>0</v>
      </c>
      <c r="AQ636" t="s">
        <v>581</v>
      </c>
      <c r="AR636" s="51">
        <f>L629</f>
        <v>1013.4</v>
      </c>
      <c r="AT636">
        <f>0</f>
        <v>0</v>
      </c>
      <c r="AV636" t="s">
        <v>581</v>
      </c>
      <c r="AW636">
        <f>0</f>
        <v>0</v>
      </c>
      <c r="AZ636">
        <f>Source!X211</f>
        <v>749.92</v>
      </c>
      <c r="BA636">
        <f>Source!Y211</f>
        <v>364.82</v>
      </c>
      <c r="BR636" s="51">
        <f>K636</f>
        <v>2128.14</v>
      </c>
      <c r="BU636">
        <f>ROUND(K636*80/100, 2)</f>
        <v>1702.51</v>
      </c>
      <c r="BV636" s="51">
        <f>K636-BU636</f>
        <v>425.62999999999988</v>
      </c>
      <c r="CB636">
        <f>Source!BM211</f>
        <v>200001</v>
      </c>
      <c r="CC636" t="str">
        <f>Source!E211</f>
        <v>45</v>
      </c>
      <c r="CD636">
        <v>4</v>
      </c>
    </row>
    <row r="638" spans="1:82" ht="15" x14ac:dyDescent="0.2">
      <c r="A638" s="61"/>
      <c r="B638" s="62"/>
      <c r="C638" s="123" t="s">
        <v>598</v>
      </c>
      <c r="D638" s="123"/>
      <c r="E638" s="123"/>
      <c r="F638" s="123"/>
      <c r="G638" s="123"/>
      <c r="H638" s="123"/>
      <c r="I638" s="45"/>
      <c r="J638" s="61"/>
      <c r="K638" s="63"/>
      <c r="L638" s="45">
        <f>L640+L641+L647+L651</f>
        <v>52778.080000000009</v>
      </c>
    </row>
    <row r="639" spans="1:82" ht="14.25" x14ac:dyDescent="0.2">
      <c r="A639" s="54"/>
      <c r="B639" s="60"/>
      <c r="C639" s="122" t="s">
        <v>599</v>
      </c>
      <c r="D639" s="121"/>
      <c r="E639" s="121"/>
      <c r="F639" s="121"/>
      <c r="G639" s="121"/>
      <c r="H639" s="121"/>
      <c r="I639" s="43"/>
      <c r="J639" s="54"/>
      <c r="K639" s="41"/>
      <c r="L639" s="43"/>
    </row>
    <row r="640" spans="1:82" ht="14.25" x14ac:dyDescent="0.2">
      <c r="A640" s="54"/>
      <c r="B640" s="60"/>
      <c r="C640" s="121" t="s">
        <v>600</v>
      </c>
      <c r="D640" s="121"/>
      <c r="E640" s="121"/>
      <c r="F640" s="121"/>
      <c r="G640" s="121"/>
      <c r="H640" s="121"/>
      <c r="I640" s="43"/>
      <c r="J640" s="54"/>
      <c r="K640" s="41"/>
      <c r="L640" s="43">
        <f>SUM(AR581:AR636)</f>
        <v>52778.080000000009</v>
      </c>
    </row>
    <row r="641" spans="1:12" ht="14.25" hidden="1" x14ac:dyDescent="0.2">
      <c r="A641" s="54"/>
      <c r="B641" s="60"/>
      <c r="C641" s="121" t="s">
        <v>601</v>
      </c>
      <c r="D641" s="121"/>
      <c r="E641" s="121"/>
      <c r="F641" s="121"/>
      <c r="G641" s="121"/>
      <c r="H641" s="121"/>
      <c r="I641" s="43"/>
      <c r="J641" s="54"/>
      <c r="K641" s="41"/>
      <c r="L641" s="43">
        <f>L643+L646+L645</f>
        <v>0</v>
      </c>
    </row>
    <row r="642" spans="1:12" ht="14.25" hidden="1" x14ac:dyDescent="0.2">
      <c r="A642" s="54"/>
      <c r="B642" s="60"/>
      <c r="C642" s="122" t="s">
        <v>602</v>
      </c>
      <c r="D642" s="121"/>
      <c r="E642" s="121"/>
      <c r="F642" s="121"/>
      <c r="G642" s="121"/>
      <c r="H642" s="121"/>
      <c r="I642" s="43"/>
      <c r="J642" s="54"/>
      <c r="K642" s="41"/>
      <c r="L642" s="43"/>
    </row>
    <row r="643" spans="1:12" ht="14.25" hidden="1" x14ac:dyDescent="0.2">
      <c r="A643" s="54"/>
      <c r="B643" s="60"/>
      <c r="C643" s="121" t="s">
        <v>601</v>
      </c>
      <c r="D643" s="121"/>
      <c r="E643" s="121"/>
      <c r="F643" s="121"/>
      <c r="G643" s="121"/>
      <c r="H643" s="121"/>
      <c r="I643" s="43"/>
      <c r="J643" s="54"/>
      <c r="K643" s="41"/>
      <c r="L643" s="43">
        <f>SUM(AO581:AO636)</f>
        <v>0</v>
      </c>
    </row>
    <row r="644" spans="1:12" ht="14.25" hidden="1" x14ac:dyDescent="0.2">
      <c r="A644" s="54"/>
      <c r="B644" s="60"/>
      <c r="C644" s="122" t="s">
        <v>603</v>
      </c>
      <c r="D644" s="121"/>
      <c r="E644" s="121"/>
      <c r="F644" s="121"/>
      <c r="G644" s="121"/>
      <c r="H644" s="121"/>
      <c r="I644" s="43"/>
      <c r="J644" s="54"/>
      <c r="K644" s="41"/>
      <c r="L644" s="43"/>
    </row>
    <row r="645" spans="1:12" ht="14.25" hidden="1" x14ac:dyDescent="0.2">
      <c r="A645" s="54"/>
      <c r="B645" s="60"/>
      <c r="C645" s="121" t="s">
        <v>623</v>
      </c>
      <c r="D645" s="121"/>
      <c r="E645" s="121"/>
      <c r="F645" s="121"/>
      <c r="G645" s="121"/>
      <c r="H645" s="121"/>
      <c r="I645" s="43"/>
      <c r="J645" s="54"/>
      <c r="K645" s="41"/>
      <c r="L645" s="43">
        <f>SUM(AT581:AT636)</f>
        <v>0</v>
      </c>
    </row>
    <row r="646" spans="1:12" ht="14.25" hidden="1" x14ac:dyDescent="0.2">
      <c r="A646" s="54"/>
      <c r="B646" s="60"/>
      <c r="C646" s="121" t="s">
        <v>604</v>
      </c>
      <c r="D646" s="121"/>
      <c r="E646" s="121"/>
      <c r="F646" s="121"/>
      <c r="G646" s="121"/>
      <c r="H646" s="121"/>
      <c r="I646" s="43"/>
      <c r="J646" s="54"/>
      <c r="K646" s="41"/>
      <c r="L646" s="43">
        <f>SUM(AV581:AV636)</f>
        <v>0</v>
      </c>
    </row>
    <row r="647" spans="1:12" ht="14.25" hidden="1" x14ac:dyDescent="0.2">
      <c r="A647" s="54"/>
      <c r="B647" s="60"/>
      <c r="C647" s="121" t="s">
        <v>605</v>
      </c>
      <c r="D647" s="121"/>
      <c r="E647" s="121"/>
      <c r="F647" s="121"/>
      <c r="G647" s="121"/>
      <c r="H647" s="121"/>
      <c r="I647" s="43"/>
      <c r="J647" s="54"/>
      <c r="K647" s="41"/>
      <c r="L647" s="43">
        <f>L649+L650</f>
        <v>0</v>
      </c>
    </row>
    <row r="648" spans="1:12" ht="14.25" hidden="1" x14ac:dyDescent="0.2">
      <c r="A648" s="54"/>
      <c r="B648" s="60"/>
      <c r="C648" s="122" t="s">
        <v>602</v>
      </c>
      <c r="D648" s="121"/>
      <c r="E648" s="121"/>
      <c r="F648" s="121"/>
      <c r="G648" s="121"/>
      <c r="H648" s="121"/>
      <c r="I648" s="43"/>
      <c r="J648" s="54"/>
      <c r="K648" s="41"/>
      <c r="L648" s="43"/>
    </row>
    <row r="649" spans="1:12" ht="14.25" hidden="1" x14ac:dyDescent="0.2">
      <c r="A649" s="54"/>
      <c r="B649" s="60"/>
      <c r="C649" s="121" t="s">
        <v>606</v>
      </c>
      <c r="D649" s="121"/>
      <c r="E649" s="121"/>
      <c r="F649" s="121"/>
      <c r="G649" s="121"/>
      <c r="H649" s="121"/>
      <c r="I649" s="43"/>
      <c r="J649" s="54"/>
      <c r="K649" s="41"/>
      <c r="L649" s="43">
        <f>SUM(AW581:AW636)-SUM(BK581:BK636)</f>
        <v>0</v>
      </c>
    </row>
    <row r="650" spans="1:12" ht="14.25" hidden="1" x14ac:dyDescent="0.2">
      <c r="A650" s="54"/>
      <c r="B650" s="60"/>
      <c r="C650" s="121" t="s">
        <v>607</v>
      </c>
      <c r="D650" s="121"/>
      <c r="E650" s="121"/>
      <c r="F650" s="121"/>
      <c r="G650" s="121"/>
      <c r="H650" s="121"/>
      <c r="I650" s="43"/>
      <c r="J650" s="54"/>
      <c r="K650" s="41"/>
      <c r="L650" s="43">
        <f>SUM(BC581:BC636)</f>
        <v>0</v>
      </c>
    </row>
    <row r="651" spans="1:12" ht="14.25" hidden="1" x14ac:dyDescent="0.2">
      <c r="A651" s="54"/>
      <c r="B651" s="60"/>
      <c r="C651" s="121" t="s">
        <v>608</v>
      </c>
      <c r="D651" s="121"/>
      <c r="E651" s="121"/>
      <c r="F651" s="121"/>
      <c r="G651" s="121"/>
      <c r="H651" s="121"/>
      <c r="I651" s="43"/>
      <c r="J651" s="54"/>
      <c r="K651" s="41"/>
      <c r="L651" s="43">
        <f>SUM(BB581:BB636)</f>
        <v>0</v>
      </c>
    </row>
    <row r="652" spans="1:12" ht="14.25" x14ac:dyDescent="0.2">
      <c r="A652" s="54"/>
      <c r="B652" s="60"/>
      <c r="C652" s="121" t="s">
        <v>609</v>
      </c>
      <c r="D652" s="121"/>
      <c r="E652" s="121"/>
      <c r="F652" s="121"/>
      <c r="G652" s="121"/>
      <c r="H652" s="121"/>
      <c r="I652" s="43"/>
      <c r="J652" s="54"/>
      <c r="K652" s="41"/>
      <c r="L652" s="43">
        <f>SUM(AR581:AR636)+SUM(AT581:AT636)+SUM(AV581:AV636)</f>
        <v>52778.080000000009</v>
      </c>
    </row>
    <row r="653" spans="1:12" ht="14.25" x14ac:dyDescent="0.2">
      <c r="A653" s="54"/>
      <c r="B653" s="60"/>
      <c r="C653" s="121" t="s">
        <v>610</v>
      </c>
      <c r="D653" s="121"/>
      <c r="E653" s="121"/>
      <c r="F653" s="121"/>
      <c r="G653" s="121"/>
      <c r="H653" s="121"/>
      <c r="I653" s="43"/>
      <c r="J653" s="54"/>
      <c r="K653" s="41"/>
      <c r="L653" s="43">
        <f>SUM(AZ581:AZ636)</f>
        <v>39055.789999999994</v>
      </c>
    </row>
    <row r="654" spans="1:12" ht="14.25" x14ac:dyDescent="0.2">
      <c r="A654" s="54"/>
      <c r="B654" s="60"/>
      <c r="C654" s="121" t="s">
        <v>611</v>
      </c>
      <c r="D654" s="121"/>
      <c r="E654" s="121"/>
      <c r="F654" s="121"/>
      <c r="G654" s="121"/>
      <c r="H654" s="121"/>
      <c r="I654" s="43"/>
      <c r="J654" s="54"/>
      <c r="K654" s="41"/>
      <c r="L654" s="43">
        <f>SUM(BA581:BA636)</f>
        <v>19000.099999999999</v>
      </c>
    </row>
    <row r="655" spans="1:12" ht="14.25" hidden="1" x14ac:dyDescent="0.2">
      <c r="A655" s="54"/>
      <c r="B655" s="60"/>
      <c r="C655" s="121" t="s">
        <v>612</v>
      </c>
      <c r="D655" s="121"/>
      <c r="E655" s="121"/>
      <c r="F655" s="121"/>
      <c r="G655" s="121"/>
      <c r="H655" s="121"/>
      <c r="I655" s="43"/>
      <c r="J655" s="54"/>
      <c r="K655" s="41"/>
      <c r="L655" s="43">
        <f>L657+L658</f>
        <v>0</v>
      </c>
    </row>
    <row r="656" spans="1:12" ht="14.25" hidden="1" x14ac:dyDescent="0.2">
      <c r="A656" s="54"/>
      <c r="B656" s="60"/>
      <c r="C656" s="122" t="s">
        <v>599</v>
      </c>
      <c r="D656" s="121"/>
      <c r="E656" s="121"/>
      <c r="F656" s="121"/>
      <c r="G656" s="121"/>
      <c r="H656" s="121"/>
      <c r="I656" s="43"/>
      <c r="J656" s="54"/>
      <c r="K656" s="41"/>
      <c r="L656" s="43"/>
    </row>
    <row r="657" spans="1:12" ht="14.25" hidden="1" x14ac:dyDescent="0.2">
      <c r="A657" s="54"/>
      <c r="B657" s="60"/>
      <c r="C657" s="121" t="s">
        <v>613</v>
      </c>
      <c r="D657" s="121"/>
      <c r="E657" s="121"/>
      <c r="F657" s="121"/>
      <c r="G657" s="121"/>
      <c r="H657" s="121"/>
      <c r="I657" s="43"/>
      <c r="J657" s="54"/>
      <c r="K657" s="41"/>
      <c r="L657" s="43">
        <f>SUM(BK581:BK636)</f>
        <v>0</v>
      </c>
    </row>
    <row r="658" spans="1:12" ht="14.25" hidden="1" x14ac:dyDescent="0.2">
      <c r="A658" s="54"/>
      <c r="B658" s="60"/>
      <c r="C658" s="121" t="s">
        <v>614</v>
      </c>
      <c r="D658" s="121"/>
      <c r="E658" s="121"/>
      <c r="F658" s="121"/>
      <c r="G658" s="121"/>
      <c r="H658" s="121"/>
      <c r="I658" s="43"/>
      <c r="J658" s="54"/>
      <c r="K658" s="41"/>
      <c r="L658" s="43">
        <f>SUM(BD581:BD636)</f>
        <v>0</v>
      </c>
    </row>
    <row r="659" spans="1:12" ht="14.25" hidden="1" x14ac:dyDescent="0.2">
      <c r="A659" s="54"/>
      <c r="B659" s="60"/>
      <c r="C659" s="121" t="s">
        <v>615</v>
      </c>
      <c r="D659" s="121"/>
      <c r="E659" s="121"/>
      <c r="F659" s="121"/>
      <c r="G659" s="121"/>
      <c r="H659" s="121"/>
      <c r="I659" s="43"/>
      <c r="J659" s="54"/>
      <c r="K659" s="41"/>
      <c r="L659" s="43"/>
    </row>
    <row r="660" spans="1:12" ht="14.25" hidden="1" x14ac:dyDescent="0.2">
      <c r="A660" s="54"/>
      <c r="B660" s="60"/>
      <c r="C660" s="121" t="s">
        <v>616</v>
      </c>
      <c r="D660" s="121"/>
      <c r="E660" s="121"/>
      <c r="F660" s="121"/>
      <c r="G660" s="121"/>
      <c r="H660" s="121"/>
      <c r="I660" s="43"/>
      <c r="J660" s="54"/>
      <c r="K660" s="41"/>
      <c r="L660" s="43">
        <f>SUM(BO581:BO636)</f>
        <v>0</v>
      </c>
    </row>
    <row r="661" spans="1:12" ht="15" x14ac:dyDescent="0.2">
      <c r="A661" s="61"/>
      <c r="B661" s="62"/>
      <c r="C661" s="123" t="s">
        <v>617</v>
      </c>
      <c r="D661" s="123"/>
      <c r="E661" s="123"/>
      <c r="F661" s="123"/>
      <c r="G661" s="123"/>
      <c r="H661" s="123"/>
      <c r="I661" s="45"/>
      <c r="J661" s="61"/>
      <c r="K661" s="63"/>
      <c r="L661" s="45">
        <f>L638+L653+L654+L655+L659+L660</f>
        <v>110833.97</v>
      </c>
    </row>
    <row r="662" spans="1:12" ht="14.25" x14ac:dyDescent="0.2">
      <c r="A662" s="54"/>
      <c r="B662" s="60"/>
      <c r="C662" s="122" t="s">
        <v>618</v>
      </c>
      <c r="D662" s="121"/>
      <c r="E662" s="121"/>
      <c r="F662" s="121"/>
      <c r="G662" s="121"/>
      <c r="H662" s="121"/>
      <c r="I662" s="43"/>
      <c r="J662" s="54"/>
      <c r="K662" s="41"/>
      <c r="L662" s="43"/>
    </row>
    <row r="663" spans="1:12" ht="14.25" hidden="1" x14ac:dyDescent="0.2">
      <c r="A663" s="54"/>
      <c r="B663" s="60"/>
      <c r="C663" s="121" t="s">
        <v>619</v>
      </c>
      <c r="D663" s="121"/>
      <c r="E663" s="121"/>
      <c r="F663" s="121"/>
      <c r="G663" s="121"/>
      <c r="H663" s="121"/>
      <c r="I663" s="43"/>
      <c r="J663" s="54"/>
      <c r="K663" s="41"/>
      <c r="L663" s="43">
        <f>SUM(AX581:AX636)</f>
        <v>0</v>
      </c>
    </row>
    <row r="664" spans="1:12" ht="14.25" hidden="1" x14ac:dyDescent="0.2">
      <c r="A664" s="54"/>
      <c r="B664" s="60"/>
      <c r="C664" s="121" t="s">
        <v>620</v>
      </c>
      <c r="D664" s="121"/>
      <c r="E664" s="121"/>
      <c r="F664" s="121"/>
      <c r="G664" s="121"/>
      <c r="H664" s="121"/>
      <c r="I664" s="43"/>
      <c r="J664" s="54"/>
      <c r="K664" s="41"/>
      <c r="L664" s="43">
        <f>SUM(AY581:AY636)</f>
        <v>0</v>
      </c>
    </row>
    <row r="665" spans="1:12" ht="14.25" x14ac:dyDescent="0.2">
      <c r="A665" s="54"/>
      <c r="B665" s="60"/>
      <c r="C665" s="121" t="s">
        <v>621</v>
      </c>
      <c r="D665" s="121"/>
      <c r="E665" s="121"/>
      <c r="F665" s="124"/>
      <c r="G665" s="44">
        <f>Source!F235</f>
        <v>80.995199999999997</v>
      </c>
      <c r="H665" s="54"/>
      <c r="I665" s="54"/>
      <c r="J665" s="54"/>
      <c r="K665" s="54"/>
      <c r="L665" s="54"/>
    </row>
    <row r="666" spans="1:12" ht="14.25" hidden="1" customHeight="1" x14ac:dyDescent="0.2">
      <c r="A666" s="54"/>
      <c r="B666" s="60"/>
      <c r="C666" s="121" t="s">
        <v>622</v>
      </c>
      <c r="D666" s="121"/>
      <c r="E666" s="121"/>
      <c r="F666" s="124"/>
      <c r="G666" s="44">
        <f>Source!F236</f>
        <v>0</v>
      </c>
      <c r="H666" s="54"/>
      <c r="I666" s="54"/>
      <c r="J666" s="54"/>
      <c r="K666" s="54"/>
      <c r="L666" s="54"/>
    </row>
    <row r="668" spans="1:12" hidden="1" x14ac:dyDescent="0.2"/>
    <row r="669" spans="1:12" ht="15" hidden="1" x14ac:dyDescent="0.2">
      <c r="A669" s="66"/>
      <c r="B669" s="67"/>
      <c r="C669" s="125" t="s">
        <v>642</v>
      </c>
      <c r="D669" s="125"/>
      <c r="E669" s="125"/>
      <c r="F669" s="125"/>
      <c r="G669" s="125"/>
      <c r="H669" s="125"/>
      <c r="I669" s="55"/>
      <c r="J669" s="66"/>
      <c r="K669" s="68"/>
      <c r="L669" s="55"/>
    </row>
    <row r="670" spans="1:12" hidden="1" x14ac:dyDescent="0.2"/>
    <row r="671" spans="1:12" ht="15" hidden="1" x14ac:dyDescent="0.2">
      <c r="A671" s="61"/>
      <c r="B671" s="62"/>
      <c r="C671" s="123" t="s">
        <v>643</v>
      </c>
      <c r="D671" s="123"/>
      <c r="E671" s="123"/>
      <c r="F671" s="123"/>
      <c r="G671" s="123"/>
      <c r="H671" s="123"/>
      <c r="I671" s="45"/>
      <c r="J671" s="61"/>
      <c r="K671" s="63"/>
      <c r="L671" s="45">
        <f>L673+L688+L689</f>
        <v>1268468.4499999997</v>
      </c>
    </row>
    <row r="672" spans="1:12" ht="14.25" hidden="1" x14ac:dyDescent="0.2">
      <c r="A672" s="54"/>
      <c r="B672" s="60"/>
      <c r="C672" s="122" t="s">
        <v>599</v>
      </c>
      <c r="D672" s="121"/>
      <c r="E672" s="121"/>
      <c r="F672" s="121"/>
      <c r="G672" s="121"/>
      <c r="H672" s="121"/>
      <c r="I672" s="43"/>
      <c r="J672" s="54"/>
      <c r="K672" s="41"/>
      <c r="L672" s="43"/>
    </row>
    <row r="673" spans="1:12" ht="14.25" hidden="1" x14ac:dyDescent="0.2">
      <c r="A673" s="54"/>
      <c r="B673" s="60"/>
      <c r="C673" s="121" t="s">
        <v>644</v>
      </c>
      <c r="D673" s="121"/>
      <c r="E673" s="121"/>
      <c r="F673" s="121"/>
      <c r="G673" s="121"/>
      <c r="H673" s="121"/>
      <c r="I673" s="43"/>
      <c r="J673" s="54"/>
      <c r="K673" s="41"/>
      <c r="L673" s="43">
        <f>L675+L676+L682+L686</f>
        <v>829439.12999999989</v>
      </c>
    </row>
    <row r="674" spans="1:12" ht="14.25" hidden="1" x14ac:dyDescent="0.2">
      <c r="A674" s="54"/>
      <c r="B674" s="60"/>
      <c r="C674" s="122" t="s">
        <v>599</v>
      </c>
      <c r="D674" s="121"/>
      <c r="E674" s="121"/>
      <c r="F674" s="121"/>
      <c r="G674" s="121"/>
      <c r="H674" s="121"/>
      <c r="I674" s="43"/>
      <c r="J674" s="54"/>
      <c r="K674" s="41"/>
      <c r="L674" s="43"/>
    </row>
    <row r="675" spans="1:12" ht="14.25" hidden="1" x14ac:dyDescent="0.2">
      <c r="A675" s="54"/>
      <c r="B675" s="60"/>
      <c r="C675" s="121" t="s">
        <v>645</v>
      </c>
      <c r="D675" s="121"/>
      <c r="E675" s="121"/>
      <c r="F675" s="121"/>
      <c r="G675" s="121"/>
      <c r="H675" s="121"/>
      <c r="I675" s="43"/>
      <c r="J675" s="54"/>
      <c r="K675" s="41"/>
      <c r="L675" s="43">
        <f>SUMIF(CD53:CD667, 1, AR53:AR667)</f>
        <v>188742.02000000002</v>
      </c>
    </row>
    <row r="676" spans="1:12" ht="14.25" hidden="1" x14ac:dyDescent="0.2">
      <c r="A676" s="54"/>
      <c r="B676" s="60"/>
      <c r="C676" s="121" t="s">
        <v>601</v>
      </c>
      <c r="D676" s="121"/>
      <c r="E676" s="121"/>
      <c r="F676" s="121"/>
      <c r="G676" s="121"/>
      <c r="H676" s="121"/>
      <c r="I676" s="43"/>
      <c r="J676" s="54"/>
      <c r="K676" s="41"/>
      <c r="L676" s="43">
        <f>L678+L681+L680</f>
        <v>265889.33999999997</v>
      </c>
    </row>
    <row r="677" spans="1:12" ht="14.25" hidden="1" x14ac:dyDescent="0.2">
      <c r="A677" s="54"/>
      <c r="B677" s="60"/>
      <c r="C677" s="122" t="s">
        <v>602</v>
      </c>
      <c r="D677" s="121"/>
      <c r="E677" s="121"/>
      <c r="F677" s="121"/>
      <c r="G677" s="121"/>
      <c r="H677" s="121"/>
      <c r="I677" s="43"/>
      <c r="J677" s="54"/>
      <c r="K677" s="41"/>
      <c r="L677" s="43"/>
    </row>
    <row r="678" spans="1:12" ht="14.25" hidden="1" x14ac:dyDescent="0.2">
      <c r="A678" s="54"/>
      <c r="B678" s="60"/>
      <c r="C678" s="121" t="s">
        <v>601</v>
      </c>
      <c r="D678" s="121"/>
      <c r="E678" s="121"/>
      <c r="F678" s="121"/>
      <c r="G678" s="121"/>
      <c r="H678" s="121"/>
      <c r="I678" s="43"/>
      <c r="J678" s="54"/>
      <c r="K678" s="41"/>
      <c r="L678" s="43">
        <f>SUMIF(CD53:CD667, 1, AO53:AO667)</f>
        <v>185288.21999999997</v>
      </c>
    </row>
    <row r="679" spans="1:12" ht="14.25" hidden="1" x14ac:dyDescent="0.2">
      <c r="A679" s="54"/>
      <c r="B679" s="60"/>
      <c r="C679" s="122" t="s">
        <v>603</v>
      </c>
      <c r="D679" s="121"/>
      <c r="E679" s="121"/>
      <c r="F679" s="121"/>
      <c r="G679" s="121"/>
      <c r="H679" s="121"/>
      <c r="I679" s="43"/>
      <c r="J679" s="54"/>
      <c r="K679" s="41"/>
      <c r="L679" s="43"/>
    </row>
    <row r="680" spans="1:12" ht="14.25" hidden="1" x14ac:dyDescent="0.2">
      <c r="A680" s="54"/>
      <c r="B680" s="60"/>
      <c r="C680" s="121" t="s">
        <v>623</v>
      </c>
      <c r="D680" s="121"/>
      <c r="E680" s="121"/>
      <c r="F680" s="121"/>
      <c r="G680" s="121"/>
      <c r="H680" s="121"/>
      <c r="I680" s="43"/>
      <c r="J680" s="54"/>
      <c r="K680" s="41"/>
      <c r="L680" s="43">
        <f>SUMIF(CD53:CD667, 1, AT53:AT667)</f>
        <v>80601.12000000001</v>
      </c>
    </row>
    <row r="681" spans="1:12" ht="14.25" hidden="1" x14ac:dyDescent="0.2">
      <c r="A681" s="54"/>
      <c r="B681" s="60"/>
      <c r="C681" s="121" t="s">
        <v>604</v>
      </c>
      <c r="D681" s="121"/>
      <c r="E681" s="121"/>
      <c r="F681" s="121"/>
      <c r="G681" s="121"/>
      <c r="H681" s="121"/>
      <c r="I681" s="43"/>
      <c r="J681" s="54"/>
      <c r="K681" s="41"/>
      <c r="L681" s="43">
        <f>SUMIF(CD53:CD667, 1, AV53:AV667)</f>
        <v>0</v>
      </c>
    </row>
    <row r="682" spans="1:12" ht="14.25" hidden="1" x14ac:dyDescent="0.2">
      <c r="A682" s="54"/>
      <c r="B682" s="60"/>
      <c r="C682" s="121" t="s">
        <v>605</v>
      </c>
      <c r="D682" s="121"/>
      <c r="E682" s="121"/>
      <c r="F682" s="121"/>
      <c r="G682" s="121"/>
      <c r="H682" s="121"/>
      <c r="I682" s="43"/>
      <c r="J682" s="54"/>
      <c r="K682" s="41"/>
      <c r="L682" s="43">
        <f>L684+L685</f>
        <v>374807.76999999996</v>
      </c>
    </row>
    <row r="683" spans="1:12" ht="14.25" hidden="1" x14ac:dyDescent="0.2">
      <c r="A683" s="54"/>
      <c r="B683" s="60"/>
      <c r="C683" s="122" t="s">
        <v>602</v>
      </c>
      <c r="D683" s="121"/>
      <c r="E683" s="121"/>
      <c r="F683" s="121"/>
      <c r="G683" s="121"/>
      <c r="H683" s="121"/>
      <c r="I683" s="43"/>
      <c r="J683" s="54"/>
      <c r="K683" s="41"/>
      <c r="L683" s="43"/>
    </row>
    <row r="684" spans="1:12" ht="14.25" hidden="1" x14ac:dyDescent="0.2">
      <c r="A684" s="54"/>
      <c r="B684" s="60"/>
      <c r="C684" s="121" t="s">
        <v>606</v>
      </c>
      <c r="D684" s="121"/>
      <c r="E684" s="121"/>
      <c r="F684" s="121"/>
      <c r="G684" s="121"/>
      <c r="H684" s="121"/>
      <c r="I684" s="43"/>
      <c r="J684" s="54"/>
      <c r="K684" s="41"/>
      <c r="L684" s="43">
        <f>SUMIF(CD53:CD667, 1, AW53:AW667)-SUMIF(CD53:CD667, 1, BK53:BK667)</f>
        <v>374807.76999999996</v>
      </c>
    </row>
    <row r="685" spans="1:12" ht="14.25" hidden="1" x14ac:dyDescent="0.2">
      <c r="A685" s="54"/>
      <c r="B685" s="60"/>
      <c r="C685" s="121" t="s">
        <v>607</v>
      </c>
      <c r="D685" s="121"/>
      <c r="E685" s="121"/>
      <c r="F685" s="121"/>
      <c r="G685" s="121"/>
      <c r="H685" s="121"/>
      <c r="I685" s="43"/>
      <c r="J685" s="54"/>
      <c r="K685" s="41"/>
      <c r="L685" s="43">
        <f>SUMIF(CD53:CD667, 1, BC53:BC667)</f>
        <v>0</v>
      </c>
    </row>
    <row r="686" spans="1:12" ht="14.25" hidden="1" x14ac:dyDescent="0.2">
      <c r="A686" s="54"/>
      <c r="B686" s="60"/>
      <c r="C686" s="121" t="s">
        <v>608</v>
      </c>
      <c r="D686" s="121"/>
      <c r="E686" s="121"/>
      <c r="F686" s="121"/>
      <c r="G686" s="121"/>
      <c r="H686" s="121"/>
      <c r="I686" s="43"/>
      <c r="J686" s="54"/>
      <c r="K686" s="41"/>
      <c r="L686" s="43">
        <f>SUMIF(CD53:CD667, 1, BB53:BB667)</f>
        <v>0</v>
      </c>
    </row>
    <row r="687" spans="1:12" ht="14.25" hidden="1" x14ac:dyDescent="0.2">
      <c r="A687" s="54"/>
      <c r="B687" s="60"/>
      <c r="C687" s="121" t="s">
        <v>646</v>
      </c>
      <c r="D687" s="121"/>
      <c r="E687" s="121"/>
      <c r="F687" s="121"/>
      <c r="G687" s="121"/>
      <c r="H687" s="121"/>
      <c r="I687" s="43"/>
      <c r="J687" s="54"/>
      <c r="K687" s="41"/>
      <c r="L687" s="43">
        <f>SUMIF(CD53:CD667, 1, AR53:AR667)+SUMIF(CD53:CD667, 1, AT53:AT667)+SUMIF(CD53:CD667, 1, AV53:AV667)</f>
        <v>269343.14</v>
      </c>
    </row>
    <row r="688" spans="1:12" ht="14.25" hidden="1" x14ac:dyDescent="0.2">
      <c r="A688" s="54"/>
      <c r="B688" s="60"/>
      <c r="C688" s="121" t="s">
        <v>647</v>
      </c>
      <c r="D688" s="121"/>
      <c r="E688" s="121"/>
      <c r="F688" s="121"/>
      <c r="G688" s="121"/>
      <c r="H688" s="121"/>
      <c r="I688" s="43"/>
      <c r="J688" s="54"/>
      <c r="K688" s="41"/>
      <c r="L688" s="43">
        <f>SUMIF(CD53:CD667, 1, AZ53:AZ667)</f>
        <v>277423.44</v>
      </c>
    </row>
    <row r="689" spans="1:12" ht="14.25" hidden="1" x14ac:dyDescent="0.2">
      <c r="A689" s="54"/>
      <c r="B689" s="60"/>
      <c r="C689" s="121" t="s">
        <v>648</v>
      </c>
      <c r="D689" s="121"/>
      <c r="E689" s="121"/>
      <c r="F689" s="121"/>
      <c r="G689" s="121"/>
      <c r="H689" s="121"/>
      <c r="I689" s="43"/>
      <c r="J689" s="54"/>
      <c r="K689" s="41"/>
      <c r="L689" s="43">
        <f>SUMIF(CD53:CD667, 1, BA53:BA667)</f>
        <v>161605.88</v>
      </c>
    </row>
    <row r="690" spans="1:12" hidden="1" x14ac:dyDescent="0.2"/>
    <row r="691" spans="1:12" ht="15" hidden="1" x14ac:dyDescent="0.2">
      <c r="A691" s="61"/>
      <c r="B691" s="62"/>
      <c r="C691" s="123" t="s">
        <v>649</v>
      </c>
      <c r="D691" s="123"/>
      <c r="E691" s="123"/>
      <c r="F691" s="123"/>
      <c r="G691" s="123"/>
      <c r="H691" s="123"/>
      <c r="I691" s="45"/>
      <c r="J691" s="61"/>
      <c r="K691" s="63"/>
      <c r="L691" s="45">
        <f>L693+L708+L709</f>
        <v>719304.3600000001</v>
      </c>
    </row>
    <row r="692" spans="1:12" ht="14.25" hidden="1" x14ac:dyDescent="0.2">
      <c r="A692" s="54"/>
      <c r="B692" s="60"/>
      <c r="C692" s="122" t="s">
        <v>599</v>
      </c>
      <c r="D692" s="121"/>
      <c r="E692" s="121"/>
      <c r="F692" s="121"/>
      <c r="G692" s="121"/>
      <c r="H692" s="121"/>
      <c r="I692" s="43"/>
      <c r="J692" s="54"/>
      <c r="K692" s="41"/>
      <c r="L692" s="43"/>
    </row>
    <row r="693" spans="1:12" ht="14.25" hidden="1" x14ac:dyDescent="0.2">
      <c r="A693" s="54"/>
      <c r="B693" s="60"/>
      <c r="C693" s="121" t="s">
        <v>644</v>
      </c>
      <c r="D693" s="121"/>
      <c r="E693" s="121"/>
      <c r="F693" s="121"/>
      <c r="G693" s="121"/>
      <c r="H693" s="121"/>
      <c r="I693" s="43"/>
      <c r="J693" s="54"/>
      <c r="K693" s="41"/>
      <c r="L693" s="43">
        <f>L695+L696+L702+L706</f>
        <v>571453.39000000013</v>
      </c>
    </row>
    <row r="694" spans="1:12" ht="14.25" hidden="1" x14ac:dyDescent="0.2">
      <c r="A694" s="54"/>
      <c r="B694" s="60"/>
      <c r="C694" s="122" t="s">
        <v>599</v>
      </c>
      <c r="D694" s="121"/>
      <c r="E694" s="121"/>
      <c r="F694" s="121"/>
      <c r="G694" s="121"/>
      <c r="H694" s="121"/>
      <c r="I694" s="43"/>
      <c r="J694" s="54"/>
      <c r="K694" s="41"/>
      <c r="L694" s="43"/>
    </row>
    <row r="695" spans="1:12" ht="14.25" hidden="1" x14ac:dyDescent="0.2">
      <c r="A695" s="54"/>
      <c r="B695" s="60"/>
      <c r="C695" s="121" t="s">
        <v>645</v>
      </c>
      <c r="D695" s="121"/>
      <c r="E695" s="121"/>
      <c r="F695" s="121"/>
      <c r="G695" s="121"/>
      <c r="H695" s="121"/>
      <c r="I695" s="43"/>
      <c r="J695" s="54"/>
      <c r="K695" s="41"/>
      <c r="L695" s="43">
        <f>SUMIF(CD53:CD689, 2, AR53:AR689)</f>
        <v>89077.52</v>
      </c>
    </row>
    <row r="696" spans="1:12" ht="14.25" hidden="1" x14ac:dyDescent="0.2">
      <c r="A696" s="54"/>
      <c r="B696" s="60"/>
      <c r="C696" s="121" t="s">
        <v>601</v>
      </c>
      <c r="D696" s="121"/>
      <c r="E696" s="121"/>
      <c r="F696" s="121"/>
      <c r="G696" s="121"/>
      <c r="H696" s="121"/>
      <c r="I696" s="43"/>
      <c r="J696" s="54"/>
      <c r="K696" s="41"/>
      <c r="L696" s="43">
        <f>L698+L701+L700</f>
        <v>37912.229999999996</v>
      </c>
    </row>
    <row r="697" spans="1:12" ht="14.25" hidden="1" x14ac:dyDescent="0.2">
      <c r="A697" s="54"/>
      <c r="B697" s="60"/>
      <c r="C697" s="122" t="s">
        <v>602</v>
      </c>
      <c r="D697" s="121"/>
      <c r="E697" s="121"/>
      <c r="F697" s="121"/>
      <c r="G697" s="121"/>
      <c r="H697" s="121"/>
      <c r="I697" s="43"/>
      <c r="J697" s="54"/>
      <c r="K697" s="41"/>
      <c r="L697" s="43"/>
    </row>
    <row r="698" spans="1:12" ht="14.25" hidden="1" x14ac:dyDescent="0.2">
      <c r="A698" s="54"/>
      <c r="B698" s="60"/>
      <c r="C698" s="121" t="s">
        <v>601</v>
      </c>
      <c r="D698" s="121"/>
      <c r="E698" s="121"/>
      <c r="F698" s="121"/>
      <c r="G698" s="121"/>
      <c r="H698" s="121"/>
      <c r="I698" s="43"/>
      <c r="J698" s="54"/>
      <c r="K698" s="41"/>
      <c r="L698" s="43">
        <f>SUMIF(CD53:CD689, 2, AO53:AO689)</f>
        <v>27090.449999999997</v>
      </c>
    </row>
    <row r="699" spans="1:12" ht="14.25" hidden="1" x14ac:dyDescent="0.2">
      <c r="A699" s="54"/>
      <c r="B699" s="60"/>
      <c r="C699" s="122" t="s">
        <v>603</v>
      </c>
      <c r="D699" s="121"/>
      <c r="E699" s="121"/>
      <c r="F699" s="121"/>
      <c r="G699" s="121"/>
      <c r="H699" s="121"/>
      <c r="I699" s="43"/>
      <c r="J699" s="54"/>
      <c r="K699" s="41"/>
      <c r="L699" s="43"/>
    </row>
    <row r="700" spans="1:12" ht="14.25" hidden="1" x14ac:dyDescent="0.2">
      <c r="A700" s="54"/>
      <c r="B700" s="60"/>
      <c r="C700" s="121" t="s">
        <v>623</v>
      </c>
      <c r="D700" s="121"/>
      <c r="E700" s="121"/>
      <c r="F700" s="121"/>
      <c r="G700" s="121"/>
      <c r="H700" s="121"/>
      <c r="I700" s="43"/>
      <c r="J700" s="54"/>
      <c r="K700" s="41"/>
      <c r="L700" s="43">
        <f>SUMIF(CD53:CD689, 2, AT53:AT689)</f>
        <v>10821.78</v>
      </c>
    </row>
    <row r="701" spans="1:12" ht="14.25" hidden="1" x14ac:dyDescent="0.2">
      <c r="A701" s="54"/>
      <c r="B701" s="60"/>
      <c r="C701" s="121" t="s">
        <v>604</v>
      </c>
      <c r="D701" s="121"/>
      <c r="E701" s="121"/>
      <c r="F701" s="121"/>
      <c r="G701" s="121"/>
      <c r="H701" s="121"/>
      <c r="I701" s="43"/>
      <c r="J701" s="54"/>
      <c r="K701" s="41"/>
      <c r="L701" s="43">
        <f>SUMIF(CD53:CD689, 2, AV53:AV689)</f>
        <v>0</v>
      </c>
    </row>
    <row r="702" spans="1:12" ht="14.25" hidden="1" x14ac:dyDescent="0.2">
      <c r="A702" s="54"/>
      <c r="B702" s="60"/>
      <c r="C702" s="121" t="s">
        <v>605</v>
      </c>
      <c r="D702" s="121"/>
      <c r="E702" s="121"/>
      <c r="F702" s="121"/>
      <c r="G702" s="121"/>
      <c r="H702" s="121"/>
      <c r="I702" s="43"/>
      <c r="J702" s="54"/>
      <c r="K702" s="41"/>
      <c r="L702" s="43">
        <f>L704+L705</f>
        <v>444463.64000000013</v>
      </c>
    </row>
    <row r="703" spans="1:12" ht="14.25" hidden="1" x14ac:dyDescent="0.2">
      <c r="A703" s="54"/>
      <c r="B703" s="60"/>
      <c r="C703" s="122" t="s">
        <v>602</v>
      </c>
      <c r="D703" s="121"/>
      <c r="E703" s="121"/>
      <c r="F703" s="121"/>
      <c r="G703" s="121"/>
      <c r="H703" s="121"/>
      <c r="I703" s="43"/>
      <c r="J703" s="54"/>
      <c r="K703" s="41"/>
      <c r="L703" s="43"/>
    </row>
    <row r="704" spans="1:12" ht="14.25" hidden="1" x14ac:dyDescent="0.2">
      <c r="A704" s="54"/>
      <c r="B704" s="60"/>
      <c r="C704" s="121" t="s">
        <v>606</v>
      </c>
      <c r="D704" s="121"/>
      <c r="E704" s="121"/>
      <c r="F704" s="121"/>
      <c r="G704" s="121"/>
      <c r="H704" s="121"/>
      <c r="I704" s="43"/>
      <c r="J704" s="54"/>
      <c r="K704" s="41"/>
      <c r="L704" s="43">
        <f>SUMIF(CD53:CD689, 2, AW53:AW689)-SUMIF(CD53:CD689, 2, BK53:BK689)</f>
        <v>444463.64000000013</v>
      </c>
    </row>
    <row r="705" spans="1:12" ht="14.25" hidden="1" x14ac:dyDescent="0.2">
      <c r="A705" s="54"/>
      <c r="B705" s="60"/>
      <c r="C705" s="121" t="s">
        <v>607</v>
      </c>
      <c r="D705" s="121"/>
      <c r="E705" s="121"/>
      <c r="F705" s="121"/>
      <c r="G705" s="121"/>
      <c r="H705" s="121"/>
      <c r="I705" s="43"/>
      <c r="J705" s="54"/>
      <c r="K705" s="41"/>
      <c r="L705" s="43">
        <f>SUMIF(CD53:CD689, 2, BC53:BC689)</f>
        <v>0</v>
      </c>
    </row>
    <row r="706" spans="1:12" ht="14.25" hidden="1" x14ac:dyDescent="0.2">
      <c r="A706" s="54"/>
      <c r="B706" s="60"/>
      <c r="C706" s="121" t="s">
        <v>608</v>
      </c>
      <c r="D706" s="121"/>
      <c r="E706" s="121"/>
      <c r="F706" s="121"/>
      <c r="G706" s="121"/>
      <c r="H706" s="121"/>
      <c r="I706" s="43"/>
      <c r="J706" s="54"/>
      <c r="K706" s="41"/>
      <c r="L706" s="43">
        <f>SUMIF(CD53:CD689, 2, BB53:BB689)</f>
        <v>0</v>
      </c>
    </row>
    <row r="707" spans="1:12" ht="14.25" hidden="1" x14ac:dyDescent="0.2">
      <c r="A707" s="54"/>
      <c r="B707" s="60"/>
      <c r="C707" s="121" t="s">
        <v>646</v>
      </c>
      <c r="D707" s="121"/>
      <c r="E707" s="121"/>
      <c r="F707" s="121"/>
      <c r="G707" s="121"/>
      <c r="H707" s="121"/>
      <c r="I707" s="43"/>
      <c r="J707" s="54"/>
      <c r="K707" s="41"/>
      <c r="L707" s="43">
        <f>SUMIF(CD53:CD689, 2, AR53:AR689)+SUMIF(CD53:CD689, 2, AT53:AT689)+SUMIF(CD53:CD689, 2, AV53:AV689)</f>
        <v>99899.3</v>
      </c>
    </row>
    <row r="708" spans="1:12" ht="14.25" hidden="1" x14ac:dyDescent="0.2">
      <c r="A708" s="54"/>
      <c r="B708" s="60"/>
      <c r="C708" s="121" t="s">
        <v>647</v>
      </c>
      <c r="D708" s="121"/>
      <c r="E708" s="121"/>
      <c r="F708" s="121"/>
      <c r="G708" s="121"/>
      <c r="H708" s="121"/>
      <c r="I708" s="43"/>
      <c r="J708" s="54"/>
      <c r="K708" s="41"/>
      <c r="L708" s="43">
        <f>SUMIF(CD53:CD689, 2, AZ53:AZ689)</f>
        <v>96902.329999999987</v>
      </c>
    </row>
    <row r="709" spans="1:12" ht="14.25" hidden="1" x14ac:dyDescent="0.2">
      <c r="A709" s="54"/>
      <c r="B709" s="60"/>
      <c r="C709" s="121" t="s">
        <v>648</v>
      </c>
      <c r="D709" s="121"/>
      <c r="E709" s="121"/>
      <c r="F709" s="121"/>
      <c r="G709" s="121"/>
      <c r="H709" s="121"/>
      <c r="I709" s="43"/>
      <c r="J709" s="54"/>
      <c r="K709" s="41"/>
      <c r="L709" s="43">
        <f>SUMIF(CD53:CD689, 2, BA53:BA689)</f>
        <v>50948.640000000007</v>
      </c>
    </row>
    <row r="710" spans="1:12" hidden="1" x14ac:dyDescent="0.2"/>
    <row r="711" spans="1:12" ht="15" hidden="1" x14ac:dyDescent="0.2">
      <c r="A711" s="61"/>
      <c r="B711" s="62"/>
      <c r="C711" s="123" t="s">
        <v>650</v>
      </c>
      <c r="D711" s="123"/>
      <c r="E711" s="123"/>
      <c r="F711" s="123"/>
      <c r="G711" s="123"/>
      <c r="H711" s="123"/>
      <c r="I711" s="45"/>
      <c r="J711" s="61"/>
      <c r="K711" s="63"/>
      <c r="L711" s="45">
        <f>L713+L714</f>
        <v>0</v>
      </c>
    </row>
    <row r="712" spans="1:12" ht="14.25" hidden="1" x14ac:dyDescent="0.2">
      <c r="A712" s="54"/>
      <c r="B712" s="60"/>
      <c r="C712" s="122" t="s">
        <v>599</v>
      </c>
      <c r="D712" s="121"/>
      <c r="E712" s="121"/>
      <c r="F712" s="121"/>
      <c r="G712" s="121"/>
      <c r="H712" s="121"/>
      <c r="I712" s="43"/>
      <c r="J712" s="54"/>
      <c r="K712" s="41"/>
      <c r="L712" s="43"/>
    </row>
    <row r="713" spans="1:12" ht="14.25" hidden="1" x14ac:dyDescent="0.2">
      <c r="A713" s="54"/>
      <c r="B713" s="60"/>
      <c r="C713" s="121" t="s">
        <v>613</v>
      </c>
      <c r="D713" s="121"/>
      <c r="E713" s="121"/>
      <c r="F713" s="121"/>
      <c r="G713" s="121"/>
      <c r="H713" s="121"/>
      <c r="I713" s="43"/>
      <c r="J713" s="54"/>
      <c r="K713" s="41"/>
      <c r="L713" s="43">
        <f>SUMIF(CD53:CD709, 3, BK53:BK709)</f>
        <v>0</v>
      </c>
    </row>
    <row r="714" spans="1:12" ht="14.25" hidden="1" x14ac:dyDescent="0.2">
      <c r="A714" s="54"/>
      <c r="B714" s="60"/>
      <c r="C714" s="121" t="s">
        <v>614</v>
      </c>
      <c r="D714" s="121"/>
      <c r="E714" s="121"/>
      <c r="F714" s="121"/>
      <c r="G714" s="121"/>
      <c r="H714" s="121"/>
      <c r="I714" s="43"/>
      <c r="J714" s="54"/>
      <c r="K714" s="41"/>
      <c r="L714" s="43">
        <f>SUMIF(CD53:CD709, 3, BD53:BD709)</f>
        <v>0</v>
      </c>
    </row>
    <row r="715" spans="1:12" hidden="1" x14ac:dyDescent="0.2"/>
    <row r="716" spans="1:12" ht="15" hidden="1" x14ac:dyDescent="0.2">
      <c r="A716" s="61"/>
      <c r="B716" s="62"/>
      <c r="C716" s="123" t="s">
        <v>651</v>
      </c>
      <c r="D716" s="123"/>
      <c r="E716" s="123"/>
      <c r="F716" s="123"/>
      <c r="G716" s="123"/>
      <c r="H716" s="123"/>
      <c r="I716" s="45"/>
      <c r="J716" s="61"/>
      <c r="K716" s="63"/>
      <c r="L716" s="45">
        <f>L722+L737+L738+L718+L719</f>
        <v>110833.97</v>
      </c>
    </row>
    <row r="717" spans="1:12" ht="14.25" hidden="1" x14ac:dyDescent="0.2">
      <c r="A717" s="54"/>
      <c r="B717" s="60"/>
      <c r="C717" s="122" t="s">
        <v>599</v>
      </c>
      <c r="D717" s="121"/>
      <c r="E717" s="121"/>
      <c r="F717" s="121"/>
      <c r="G717" s="121"/>
      <c r="H717" s="121"/>
      <c r="I717" s="43"/>
      <c r="J717" s="54"/>
      <c r="K717" s="41"/>
      <c r="L717" s="43"/>
    </row>
    <row r="718" spans="1:12" ht="14.25" hidden="1" x14ac:dyDescent="0.2">
      <c r="A718" s="54"/>
      <c r="B718" s="60"/>
      <c r="C718" s="121" t="s">
        <v>652</v>
      </c>
      <c r="D718" s="121"/>
      <c r="E718" s="121"/>
      <c r="F718" s="121"/>
      <c r="G718" s="121"/>
      <c r="H718" s="121"/>
      <c r="I718" s="43"/>
      <c r="J718" s="54"/>
      <c r="K718" s="41"/>
      <c r="L718" s="43"/>
    </row>
    <row r="719" spans="1:12" ht="14.25" hidden="1" x14ac:dyDescent="0.2">
      <c r="A719" s="54"/>
      <c r="B719" s="60"/>
      <c r="C719" s="121" t="s">
        <v>653</v>
      </c>
      <c r="D719" s="121"/>
      <c r="E719" s="121"/>
      <c r="F719" s="121"/>
      <c r="G719" s="121"/>
      <c r="H719" s="121"/>
      <c r="I719" s="43"/>
      <c r="J719" s="54"/>
      <c r="K719" s="41"/>
      <c r="L719" s="43">
        <f>SUM(BO53:BO714)</f>
        <v>0</v>
      </c>
    </row>
    <row r="720" spans="1:12" ht="14.25" hidden="1" x14ac:dyDescent="0.2">
      <c r="A720" s="54"/>
      <c r="B720" s="60"/>
      <c r="C720" s="121" t="s">
        <v>255</v>
      </c>
      <c r="D720" s="121"/>
      <c r="E720" s="121"/>
      <c r="F720" s="121"/>
      <c r="G720" s="121"/>
      <c r="H720" s="121"/>
      <c r="I720" s="43"/>
      <c r="J720" s="54"/>
      <c r="K720" s="41"/>
      <c r="L720" s="43">
        <f>L722+L737+L738</f>
        <v>110833.97</v>
      </c>
    </row>
    <row r="721" spans="1:12" ht="14.25" hidden="1" x14ac:dyDescent="0.2">
      <c r="A721" s="54"/>
      <c r="B721" s="60"/>
      <c r="C721" s="122" t="s">
        <v>599</v>
      </c>
      <c r="D721" s="121"/>
      <c r="E721" s="121"/>
      <c r="F721" s="121"/>
      <c r="G721" s="121"/>
      <c r="H721" s="121"/>
      <c r="I721" s="43"/>
      <c r="J721" s="54"/>
      <c r="K721" s="41"/>
      <c r="L721" s="43"/>
    </row>
    <row r="722" spans="1:12" ht="14.25" hidden="1" x14ac:dyDescent="0.2">
      <c r="A722" s="54"/>
      <c r="B722" s="60"/>
      <c r="C722" s="121" t="s">
        <v>644</v>
      </c>
      <c r="D722" s="121"/>
      <c r="E722" s="121"/>
      <c r="F722" s="121"/>
      <c r="G722" s="121"/>
      <c r="H722" s="121"/>
      <c r="I722" s="43"/>
      <c r="J722" s="54"/>
      <c r="K722" s="41"/>
      <c r="L722" s="43">
        <f>L724+L725+L731+L735</f>
        <v>52778.080000000009</v>
      </c>
    </row>
    <row r="723" spans="1:12" ht="14.25" hidden="1" x14ac:dyDescent="0.2">
      <c r="A723" s="54"/>
      <c r="B723" s="60"/>
      <c r="C723" s="122" t="s">
        <v>599</v>
      </c>
      <c r="D723" s="121"/>
      <c r="E723" s="121"/>
      <c r="F723" s="121"/>
      <c r="G723" s="121"/>
      <c r="H723" s="121"/>
      <c r="I723" s="43"/>
      <c r="J723" s="54"/>
      <c r="K723" s="41"/>
      <c r="L723" s="43"/>
    </row>
    <row r="724" spans="1:12" ht="14.25" hidden="1" x14ac:dyDescent="0.2">
      <c r="A724" s="54"/>
      <c r="B724" s="60"/>
      <c r="C724" s="121" t="s">
        <v>645</v>
      </c>
      <c r="D724" s="121"/>
      <c r="E724" s="121"/>
      <c r="F724" s="121"/>
      <c r="G724" s="121"/>
      <c r="H724" s="121"/>
      <c r="I724" s="43"/>
      <c r="J724" s="54"/>
      <c r="K724" s="41"/>
      <c r="L724" s="43">
        <f>SUMIF(CD53:CD714, 4, AR53:AR714)</f>
        <v>52778.080000000009</v>
      </c>
    </row>
    <row r="725" spans="1:12" ht="14.25" hidden="1" x14ac:dyDescent="0.2">
      <c r="A725" s="54"/>
      <c r="B725" s="60"/>
      <c r="C725" s="121" t="s">
        <v>601</v>
      </c>
      <c r="D725" s="121"/>
      <c r="E725" s="121"/>
      <c r="F725" s="121"/>
      <c r="G725" s="121"/>
      <c r="H725" s="121"/>
      <c r="I725" s="43"/>
      <c r="J725" s="54"/>
      <c r="K725" s="41"/>
      <c r="L725" s="43">
        <f>L727+L730+L729</f>
        <v>0</v>
      </c>
    </row>
    <row r="726" spans="1:12" ht="14.25" hidden="1" x14ac:dyDescent="0.2">
      <c r="A726" s="54"/>
      <c r="B726" s="60"/>
      <c r="C726" s="122" t="s">
        <v>602</v>
      </c>
      <c r="D726" s="121"/>
      <c r="E726" s="121"/>
      <c r="F726" s="121"/>
      <c r="G726" s="121"/>
      <c r="H726" s="121"/>
      <c r="I726" s="43"/>
      <c r="J726" s="54"/>
      <c r="K726" s="41"/>
      <c r="L726" s="43"/>
    </row>
    <row r="727" spans="1:12" ht="14.25" hidden="1" x14ac:dyDescent="0.2">
      <c r="A727" s="54"/>
      <c r="B727" s="60"/>
      <c r="C727" s="121" t="s">
        <v>601</v>
      </c>
      <c r="D727" s="121"/>
      <c r="E727" s="121"/>
      <c r="F727" s="121"/>
      <c r="G727" s="121"/>
      <c r="H727" s="121"/>
      <c r="I727" s="43"/>
      <c r="J727" s="54"/>
      <c r="K727" s="41"/>
      <c r="L727" s="43">
        <f>SUMIF(CD53:CD714, 4, AO53:AO714)</f>
        <v>0</v>
      </c>
    </row>
    <row r="728" spans="1:12" ht="14.25" hidden="1" x14ac:dyDescent="0.2">
      <c r="A728" s="54"/>
      <c r="B728" s="60"/>
      <c r="C728" s="122" t="s">
        <v>603</v>
      </c>
      <c r="D728" s="121"/>
      <c r="E728" s="121"/>
      <c r="F728" s="121"/>
      <c r="G728" s="121"/>
      <c r="H728" s="121"/>
      <c r="I728" s="43"/>
      <c r="J728" s="54"/>
      <c r="K728" s="41"/>
      <c r="L728" s="43"/>
    </row>
    <row r="729" spans="1:12" ht="14.25" hidden="1" x14ac:dyDescent="0.2">
      <c r="A729" s="54"/>
      <c r="B729" s="60"/>
      <c r="C729" s="121" t="s">
        <v>623</v>
      </c>
      <c r="D729" s="121"/>
      <c r="E729" s="121"/>
      <c r="F729" s="121"/>
      <c r="G729" s="121"/>
      <c r="H729" s="121"/>
      <c r="I729" s="43"/>
      <c r="J729" s="54"/>
      <c r="K729" s="41"/>
      <c r="L729" s="43">
        <f>SUMIF(CD53:CD714, 4, AT53:AT714)</f>
        <v>0</v>
      </c>
    </row>
    <row r="730" spans="1:12" ht="14.25" hidden="1" x14ac:dyDescent="0.2">
      <c r="A730" s="54"/>
      <c r="B730" s="60"/>
      <c r="C730" s="121" t="s">
        <v>604</v>
      </c>
      <c r="D730" s="121"/>
      <c r="E730" s="121"/>
      <c r="F730" s="121"/>
      <c r="G730" s="121"/>
      <c r="H730" s="121"/>
      <c r="I730" s="43"/>
      <c r="J730" s="54"/>
      <c r="K730" s="41"/>
      <c r="L730" s="43">
        <f>SUMIF(CD53:CD714, 4, AV53:AV714)</f>
        <v>0</v>
      </c>
    </row>
    <row r="731" spans="1:12" ht="14.25" hidden="1" x14ac:dyDescent="0.2">
      <c r="A731" s="54"/>
      <c r="B731" s="60"/>
      <c r="C731" s="121" t="s">
        <v>605</v>
      </c>
      <c r="D731" s="121"/>
      <c r="E731" s="121"/>
      <c r="F731" s="121"/>
      <c r="G731" s="121"/>
      <c r="H731" s="121"/>
      <c r="I731" s="43"/>
      <c r="J731" s="54"/>
      <c r="K731" s="41"/>
      <c r="L731" s="43">
        <f>L733+L734</f>
        <v>0</v>
      </c>
    </row>
    <row r="732" spans="1:12" ht="14.25" hidden="1" x14ac:dyDescent="0.2">
      <c r="A732" s="54"/>
      <c r="B732" s="60"/>
      <c r="C732" s="122" t="s">
        <v>602</v>
      </c>
      <c r="D732" s="121"/>
      <c r="E732" s="121"/>
      <c r="F732" s="121"/>
      <c r="G732" s="121"/>
      <c r="H732" s="121"/>
      <c r="I732" s="43"/>
      <c r="J732" s="54"/>
      <c r="K732" s="41"/>
      <c r="L732" s="43"/>
    </row>
    <row r="733" spans="1:12" ht="14.25" hidden="1" x14ac:dyDescent="0.2">
      <c r="A733" s="54"/>
      <c r="B733" s="60"/>
      <c r="C733" s="121" t="s">
        <v>606</v>
      </c>
      <c r="D733" s="121"/>
      <c r="E733" s="121"/>
      <c r="F733" s="121"/>
      <c r="G733" s="121"/>
      <c r="H733" s="121"/>
      <c r="I733" s="43"/>
      <c r="J733" s="54"/>
      <c r="K733" s="41"/>
      <c r="L733" s="43">
        <f>SUMIF(CD53:CD714, 4, AW53:AW714)-SUMIF(CD53:CD714, 4, BK53:BK714)</f>
        <v>0</v>
      </c>
    </row>
    <row r="734" spans="1:12" ht="14.25" hidden="1" x14ac:dyDescent="0.2">
      <c r="A734" s="54"/>
      <c r="B734" s="60"/>
      <c r="C734" s="121" t="s">
        <v>607</v>
      </c>
      <c r="D734" s="121"/>
      <c r="E734" s="121"/>
      <c r="F734" s="121"/>
      <c r="G734" s="121"/>
      <c r="H734" s="121"/>
      <c r="I734" s="43"/>
      <c r="J734" s="54"/>
      <c r="K734" s="41"/>
      <c r="L734" s="43">
        <f>SUMIF(CD53:CD714, 4, BC53:BC714)</f>
        <v>0</v>
      </c>
    </row>
    <row r="735" spans="1:12" ht="14.25" hidden="1" x14ac:dyDescent="0.2">
      <c r="A735" s="54"/>
      <c r="B735" s="60"/>
      <c r="C735" s="121" t="s">
        <v>608</v>
      </c>
      <c r="D735" s="121"/>
      <c r="E735" s="121"/>
      <c r="F735" s="121"/>
      <c r="G735" s="121"/>
      <c r="H735" s="121"/>
      <c r="I735" s="43"/>
      <c r="J735" s="54"/>
      <c r="K735" s="41"/>
      <c r="L735" s="43">
        <f>SUMIF(CD53:CD714, 4, BB53:BB714)</f>
        <v>0</v>
      </c>
    </row>
    <row r="736" spans="1:12" ht="14.25" hidden="1" x14ac:dyDescent="0.2">
      <c r="A736" s="54"/>
      <c r="B736" s="60"/>
      <c r="C736" s="121" t="s">
        <v>646</v>
      </c>
      <c r="D736" s="121"/>
      <c r="E736" s="121"/>
      <c r="F736" s="121"/>
      <c r="G736" s="121"/>
      <c r="H736" s="121"/>
      <c r="I736" s="43"/>
      <c r="J736" s="54"/>
      <c r="K736" s="41"/>
      <c r="L736" s="43">
        <f>SUMIF(CD53:CD714, 4, AR53:AR714)+SUMIF(CD53:CD714, 4, AT53:AT714)+SUMIF(CD53:CD714, 4, AV53:AV714)</f>
        <v>52778.080000000009</v>
      </c>
    </row>
    <row r="737" spans="1:12" ht="14.25" hidden="1" x14ac:dyDescent="0.2">
      <c r="A737" s="54"/>
      <c r="B737" s="60"/>
      <c r="C737" s="121" t="s">
        <v>647</v>
      </c>
      <c r="D737" s="121"/>
      <c r="E737" s="121"/>
      <c r="F737" s="121"/>
      <c r="G737" s="121"/>
      <c r="H737" s="121"/>
      <c r="I737" s="43"/>
      <c r="J737" s="54"/>
      <c r="K737" s="41"/>
      <c r="L737" s="43">
        <f>SUMIF(CD53:CD714, 4, AZ53:AZ714)</f>
        <v>39055.789999999994</v>
      </c>
    </row>
    <row r="738" spans="1:12" ht="14.25" hidden="1" x14ac:dyDescent="0.2">
      <c r="A738" s="54"/>
      <c r="B738" s="60"/>
      <c r="C738" s="121" t="s">
        <v>648</v>
      </c>
      <c r="D738" s="121"/>
      <c r="E738" s="121"/>
      <c r="F738" s="121"/>
      <c r="G738" s="121"/>
      <c r="H738" s="121"/>
      <c r="I738" s="43"/>
      <c r="J738" s="54"/>
      <c r="K738" s="41"/>
      <c r="L738" s="43">
        <f>SUMIF(CD53:CD714, 4, BA53:BA714)</f>
        <v>19000.099999999999</v>
      </c>
    </row>
    <row r="739" spans="1:12" hidden="1" x14ac:dyDescent="0.2"/>
    <row r="740" spans="1:12" ht="15" hidden="1" x14ac:dyDescent="0.2">
      <c r="A740" s="61"/>
      <c r="B740" s="62"/>
      <c r="C740" s="123" t="s">
        <v>654</v>
      </c>
      <c r="D740" s="123"/>
      <c r="E740" s="123"/>
      <c r="F740" s="123"/>
      <c r="G740" s="123"/>
      <c r="H740" s="123"/>
      <c r="I740" s="45"/>
      <c r="J740" s="61"/>
      <c r="K740" s="63"/>
      <c r="L740" s="45">
        <f>L671+L691+L711+L716</f>
        <v>2098606.7799999998</v>
      </c>
    </row>
    <row r="741" spans="1:12" ht="14.25" hidden="1" x14ac:dyDescent="0.2">
      <c r="A741" s="54"/>
      <c r="B741" s="60"/>
      <c r="C741" s="122" t="s">
        <v>599</v>
      </c>
      <c r="D741" s="121"/>
      <c r="E741" s="121"/>
      <c r="F741" s="121"/>
      <c r="G741" s="121"/>
      <c r="H741" s="121"/>
      <c r="I741" s="43"/>
      <c r="J741" s="54"/>
      <c r="K741" s="41"/>
      <c r="L741" s="43"/>
    </row>
    <row r="742" spans="1:12" ht="14.25" hidden="1" x14ac:dyDescent="0.2">
      <c r="A742" s="54"/>
      <c r="B742" s="60"/>
      <c r="C742" s="121" t="s">
        <v>644</v>
      </c>
      <c r="D742" s="121"/>
      <c r="E742" s="121"/>
      <c r="F742" s="121"/>
      <c r="G742" s="121"/>
      <c r="H742" s="121"/>
      <c r="I742" s="43"/>
      <c r="J742" s="54"/>
      <c r="K742" s="41"/>
      <c r="L742" s="43">
        <f>L744+L745+L751+L755</f>
        <v>1453670.6</v>
      </c>
    </row>
    <row r="743" spans="1:12" ht="14.25" hidden="1" x14ac:dyDescent="0.2">
      <c r="A743" s="54"/>
      <c r="B743" s="60"/>
      <c r="C743" s="122" t="s">
        <v>599</v>
      </c>
      <c r="D743" s="121"/>
      <c r="E743" s="121"/>
      <c r="F743" s="121"/>
      <c r="G743" s="121"/>
      <c r="H743" s="121"/>
      <c r="I743" s="43"/>
      <c r="J743" s="54"/>
      <c r="K743" s="41"/>
      <c r="L743" s="43"/>
    </row>
    <row r="744" spans="1:12" ht="14.25" hidden="1" x14ac:dyDescent="0.2">
      <c r="A744" s="54"/>
      <c r="B744" s="60"/>
      <c r="C744" s="121" t="s">
        <v>645</v>
      </c>
      <c r="D744" s="121"/>
      <c r="E744" s="121"/>
      <c r="F744" s="121"/>
      <c r="G744" s="121"/>
      <c r="H744" s="121"/>
      <c r="I744" s="43"/>
      <c r="J744" s="54"/>
      <c r="K744" s="41"/>
      <c r="L744" s="43">
        <f>SUM(AR53:AR738)</f>
        <v>330597.62</v>
      </c>
    </row>
    <row r="745" spans="1:12" ht="14.25" hidden="1" x14ac:dyDescent="0.2">
      <c r="A745" s="54"/>
      <c r="B745" s="60"/>
      <c r="C745" s="121" t="s">
        <v>601</v>
      </c>
      <c r="D745" s="121"/>
      <c r="E745" s="121"/>
      <c r="F745" s="121"/>
      <c r="G745" s="121"/>
      <c r="H745" s="121"/>
      <c r="I745" s="43"/>
      <c r="J745" s="54"/>
      <c r="K745" s="41"/>
      <c r="L745" s="43">
        <f>L747+L750+L749</f>
        <v>303801.57</v>
      </c>
    </row>
    <row r="746" spans="1:12" ht="14.25" hidden="1" x14ac:dyDescent="0.2">
      <c r="A746" s="54"/>
      <c r="B746" s="60"/>
      <c r="C746" s="122" t="s">
        <v>602</v>
      </c>
      <c r="D746" s="121"/>
      <c r="E746" s="121"/>
      <c r="F746" s="121"/>
      <c r="G746" s="121"/>
      <c r="H746" s="121"/>
      <c r="I746" s="43"/>
      <c r="J746" s="54"/>
      <c r="K746" s="41"/>
      <c r="L746" s="43"/>
    </row>
    <row r="747" spans="1:12" ht="14.25" hidden="1" x14ac:dyDescent="0.2">
      <c r="A747" s="54"/>
      <c r="B747" s="60"/>
      <c r="C747" s="121" t="s">
        <v>601</v>
      </c>
      <c r="D747" s="121"/>
      <c r="E747" s="121"/>
      <c r="F747" s="121"/>
      <c r="G747" s="121"/>
      <c r="H747" s="121"/>
      <c r="I747" s="43"/>
      <c r="J747" s="54"/>
      <c r="K747" s="41"/>
      <c r="L747" s="43">
        <f>SUM(AO53:AO738)</f>
        <v>212378.66999999998</v>
      </c>
    </row>
    <row r="748" spans="1:12" ht="14.25" hidden="1" x14ac:dyDescent="0.2">
      <c r="A748" s="54"/>
      <c r="B748" s="60"/>
      <c r="C748" s="122" t="s">
        <v>603</v>
      </c>
      <c r="D748" s="121"/>
      <c r="E748" s="121"/>
      <c r="F748" s="121"/>
      <c r="G748" s="121"/>
      <c r="H748" s="121"/>
      <c r="I748" s="43"/>
      <c r="J748" s="54"/>
      <c r="K748" s="41"/>
      <c r="L748" s="43"/>
    </row>
    <row r="749" spans="1:12" ht="14.25" hidden="1" x14ac:dyDescent="0.2">
      <c r="A749" s="54"/>
      <c r="B749" s="60"/>
      <c r="C749" s="121" t="s">
        <v>623</v>
      </c>
      <c r="D749" s="121"/>
      <c r="E749" s="121"/>
      <c r="F749" s="121"/>
      <c r="G749" s="121"/>
      <c r="H749" s="121"/>
      <c r="I749" s="43"/>
      <c r="J749" s="54"/>
      <c r="K749" s="41"/>
      <c r="L749" s="43">
        <f>SUM(AT53:AT738)</f>
        <v>91422.900000000009</v>
      </c>
    </row>
    <row r="750" spans="1:12" ht="14.25" hidden="1" x14ac:dyDescent="0.2">
      <c r="A750" s="54"/>
      <c r="B750" s="60"/>
      <c r="C750" s="121" t="s">
        <v>604</v>
      </c>
      <c r="D750" s="121"/>
      <c r="E750" s="121"/>
      <c r="F750" s="121"/>
      <c r="G750" s="121"/>
      <c r="H750" s="121"/>
      <c r="I750" s="43"/>
      <c r="J750" s="54"/>
      <c r="K750" s="41"/>
      <c r="L750" s="43">
        <f>SUM(AV53:AV738)</f>
        <v>0</v>
      </c>
    </row>
    <row r="751" spans="1:12" ht="14.25" hidden="1" x14ac:dyDescent="0.2">
      <c r="A751" s="54"/>
      <c r="B751" s="60"/>
      <c r="C751" s="121" t="s">
        <v>605</v>
      </c>
      <c r="D751" s="121"/>
      <c r="E751" s="121"/>
      <c r="F751" s="121"/>
      <c r="G751" s="121"/>
      <c r="H751" s="121"/>
      <c r="I751" s="43"/>
      <c r="J751" s="54"/>
      <c r="K751" s="41"/>
      <c r="L751" s="43">
        <f>L753+L754</f>
        <v>819271.41000000027</v>
      </c>
    </row>
    <row r="752" spans="1:12" ht="14.25" hidden="1" x14ac:dyDescent="0.2">
      <c r="A752" s="54"/>
      <c r="B752" s="60"/>
      <c r="C752" s="122" t="s">
        <v>602</v>
      </c>
      <c r="D752" s="121"/>
      <c r="E752" s="121"/>
      <c r="F752" s="121"/>
      <c r="G752" s="121"/>
      <c r="H752" s="121"/>
      <c r="I752" s="43"/>
      <c r="J752" s="54"/>
      <c r="K752" s="41"/>
      <c r="L752" s="43"/>
    </row>
    <row r="753" spans="1:12" ht="14.25" hidden="1" x14ac:dyDescent="0.2">
      <c r="A753" s="54"/>
      <c r="B753" s="60"/>
      <c r="C753" s="121" t="s">
        <v>606</v>
      </c>
      <c r="D753" s="121"/>
      <c r="E753" s="121"/>
      <c r="F753" s="121"/>
      <c r="G753" s="121"/>
      <c r="H753" s="121"/>
      <c r="I753" s="43"/>
      <c r="J753" s="54"/>
      <c r="K753" s="41"/>
      <c r="L753" s="43">
        <f>SUM(AW53:AW738)-SUM(BK53:BK738)</f>
        <v>819271.41000000027</v>
      </c>
    </row>
    <row r="754" spans="1:12" ht="14.25" hidden="1" x14ac:dyDescent="0.2">
      <c r="A754" s="54"/>
      <c r="B754" s="60"/>
      <c r="C754" s="121" t="s">
        <v>607</v>
      </c>
      <c r="D754" s="121"/>
      <c r="E754" s="121"/>
      <c r="F754" s="121"/>
      <c r="G754" s="121"/>
      <c r="H754" s="121"/>
      <c r="I754" s="43"/>
      <c r="J754" s="54"/>
      <c r="K754" s="41"/>
      <c r="L754" s="43">
        <f>SUM(BC53:BC738)</f>
        <v>0</v>
      </c>
    </row>
    <row r="755" spans="1:12" ht="14.25" hidden="1" x14ac:dyDescent="0.2">
      <c r="A755" s="54"/>
      <c r="B755" s="60"/>
      <c r="C755" s="121" t="s">
        <v>608</v>
      </c>
      <c r="D755" s="121"/>
      <c r="E755" s="121"/>
      <c r="F755" s="121"/>
      <c r="G755" s="121"/>
      <c r="H755" s="121"/>
      <c r="I755" s="43"/>
      <c r="J755" s="54"/>
      <c r="K755" s="41"/>
      <c r="L755" s="43">
        <f>SUM(BB53:BB738)</f>
        <v>0</v>
      </c>
    </row>
    <row r="756" spans="1:12" ht="14.25" hidden="1" x14ac:dyDescent="0.2">
      <c r="A756" s="54"/>
      <c r="B756" s="60"/>
      <c r="C756" s="121" t="s">
        <v>609</v>
      </c>
      <c r="D756" s="121"/>
      <c r="E756" s="121"/>
      <c r="F756" s="121"/>
      <c r="G756" s="121"/>
      <c r="H756" s="121"/>
      <c r="I756" s="43"/>
      <c r="J756" s="54"/>
      <c r="K756" s="41"/>
      <c r="L756" s="43">
        <f>SUM(AR53:AR738)+SUM(AT53:AT738)+SUM(AV53:AV738)</f>
        <v>422020.52</v>
      </c>
    </row>
    <row r="757" spans="1:12" ht="14.25" hidden="1" x14ac:dyDescent="0.2">
      <c r="A757" s="54"/>
      <c r="B757" s="60"/>
      <c r="C757" s="121" t="s">
        <v>610</v>
      </c>
      <c r="D757" s="121"/>
      <c r="E757" s="121"/>
      <c r="F757" s="121"/>
      <c r="G757" s="121"/>
      <c r="H757" s="121"/>
      <c r="I757" s="43"/>
      <c r="J757" s="54"/>
      <c r="K757" s="41"/>
      <c r="L757" s="43">
        <f>SUM(AZ53:AZ738)</f>
        <v>413381.56</v>
      </c>
    </row>
    <row r="758" spans="1:12" ht="14.25" hidden="1" x14ac:dyDescent="0.2">
      <c r="A758" s="54"/>
      <c r="B758" s="60"/>
      <c r="C758" s="121" t="s">
        <v>611</v>
      </c>
      <c r="D758" s="121"/>
      <c r="E758" s="121"/>
      <c r="F758" s="121"/>
      <c r="G758" s="121"/>
      <c r="H758" s="121"/>
      <c r="I758" s="43"/>
      <c r="J758" s="54"/>
      <c r="K758" s="41"/>
      <c r="L758" s="43">
        <f>SUM(BA53:BA738)</f>
        <v>231554.61999999994</v>
      </c>
    </row>
    <row r="759" spans="1:12" ht="14.25" hidden="1" x14ac:dyDescent="0.2">
      <c r="A759" s="54"/>
      <c r="B759" s="60"/>
      <c r="C759" s="121" t="s">
        <v>655</v>
      </c>
      <c r="D759" s="121"/>
      <c r="E759" s="121"/>
      <c r="F759" s="121"/>
      <c r="G759" s="121"/>
      <c r="H759" s="121"/>
      <c r="I759" s="43"/>
      <c r="J759" s="54"/>
      <c r="K759" s="41"/>
      <c r="L759" s="43">
        <f>L761+L762</f>
        <v>0</v>
      </c>
    </row>
    <row r="760" spans="1:12" ht="14.25" hidden="1" x14ac:dyDescent="0.2">
      <c r="A760" s="54"/>
      <c r="B760" s="60"/>
      <c r="C760" s="122" t="s">
        <v>599</v>
      </c>
      <c r="D760" s="121"/>
      <c r="E760" s="121"/>
      <c r="F760" s="121"/>
      <c r="G760" s="121"/>
      <c r="H760" s="121"/>
      <c r="I760" s="43"/>
      <c r="J760" s="54"/>
      <c r="K760" s="41"/>
      <c r="L760" s="43"/>
    </row>
    <row r="761" spans="1:12" ht="14.25" hidden="1" x14ac:dyDescent="0.2">
      <c r="A761" s="54"/>
      <c r="B761" s="60"/>
      <c r="C761" s="121" t="s">
        <v>613</v>
      </c>
      <c r="D761" s="121"/>
      <c r="E761" s="121"/>
      <c r="F761" s="121"/>
      <c r="G761" s="121"/>
      <c r="H761" s="121"/>
      <c r="I761" s="43"/>
      <c r="J761" s="54"/>
      <c r="K761" s="41"/>
      <c r="L761" s="43">
        <f>SUM(BK53:BK738)</f>
        <v>0</v>
      </c>
    </row>
    <row r="762" spans="1:12" ht="14.25" hidden="1" x14ac:dyDescent="0.2">
      <c r="A762" s="54"/>
      <c r="B762" s="60"/>
      <c r="C762" s="121" t="s">
        <v>614</v>
      </c>
      <c r="D762" s="121"/>
      <c r="E762" s="121"/>
      <c r="F762" s="121"/>
      <c r="G762" s="121"/>
      <c r="H762" s="121"/>
      <c r="I762" s="43"/>
      <c r="J762" s="54"/>
      <c r="K762" s="41"/>
      <c r="L762" s="43">
        <f>SUM(BD53:BD738)</f>
        <v>0</v>
      </c>
    </row>
    <row r="763" spans="1:12" ht="14.25" hidden="1" x14ac:dyDescent="0.2">
      <c r="A763" s="54"/>
      <c r="B763" s="60"/>
      <c r="C763" s="121" t="s">
        <v>656</v>
      </c>
      <c r="D763" s="121"/>
      <c r="E763" s="121"/>
      <c r="F763" s="121"/>
      <c r="G763" s="121"/>
      <c r="H763" s="121"/>
      <c r="I763" s="43"/>
      <c r="J763" s="54"/>
      <c r="K763" s="41"/>
      <c r="L763" s="43">
        <f>L716</f>
        <v>110833.97</v>
      </c>
    </row>
    <row r="764" spans="1:12" ht="14.25" hidden="1" x14ac:dyDescent="0.2">
      <c r="A764" s="54"/>
      <c r="B764" s="60"/>
      <c r="C764" s="123" t="s">
        <v>618</v>
      </c>
      <c r="D764" s="121"/>
      <c r="E764" s="121"/>
      <c r="F764" s="121"/>
      <c r="G764" s="121"/>
      <c r="H764" s="121"/>
      <c r="I764" s="43"/>
      <c r="J764" s="54"/>
      <c r="K764" s="41"/>
      <c r="L764" s="43"/>
    </row>
    <row r="765" spans="1:12" ht="14.25" hidden="1" x14ac:dyDescent="0.2">
      <c r="A765" s="54"/>
      <c r="B765" s="60"/>
      <c r="C765" s="121" t="s">
        <v>619</v>
      </c>
      <c r="D765" s="121"/>
      <c r="E765" s="121"/>
      <c r="F765" s="121"/>
      <c r="G765" s="121"/>
      <c r="H765" s="121"/>
      <c r="I765" s="43"/>
      <c r="J765" s="54"/>
      <c r="K765" s="41"/>
      <c r="L765" s="43">
        <f>SUM(AX53:AX738)</f>
        <v>0</v>
      </c>
    </row>
    <row r="766" spans="1:12" ht="14.25" hidden="1" x14ac:dyDescent="0.2">
      <c r="A766" s="54"/>
      <c r="B766" s="60"/>
      <c r="C766" s="121" t="s">
        <v>620</v>
      </c>
      <c r="D766" s="121"/>
      <c r="E766" s="121"/>
      <c r="F766" s="121"/>
      <c r="G766" s="121"/>
      <c r="H766" s="121"/>
      <c r="I766" s="43"/>
      <c r="J766" s="54"/>
      <c r="K766" s="41"/>
      <c r="L766" s="43">
        <f>SUM(AY53:AY738)</f>
        <v>0</v>
      </c>
    </row>
    <row r="767" spans="1:12" ht="14.25" hidden="1" x14ac:dyDescent="0.2">
      <c r="A767" s="54"/>
      <c r="B767" s="60"/>
      <c r="C767" s="121" t="s">
        <v>621</v>
      </c>
      <c r="D767" s="121"/>
      <c r="E767" s="121"/>
      <c r="F767" s="124"/>
      <c r="G767" s="44">
        <f>Source!F265</f>
        <v>683.62940000000003</v>
      </c>
      <c r="H767" s="54"/>
      <c r="I767" s="54"/>
      <c r="J767" s="54"/>
      <c r="K767" s="54"/>
      <c r="L767" s="54"/>
    </row>
    <row r="768" spans="1:12" ht="14.25" hidden="1" x14ac:dyDescent="0.2">
      <c r="A768" s="54"/>
      <c r="B768" s="60"/>
      <c r="C768" s="121" t="s">
        <v>622</v>
      </c>
      <c r="D768" s="121"/>
      <c r="E768" s="121"/>
      <c r="F768" s="124"/>
      <c r="G768" s="44">
        <f>Source!F266</f>
        <v>167.55665999999999</v>
      </c>
      <c r="H768" s="54"/>
      <c r="I768" s="54"/>
      <c r="J768" s="54"/>
      <c r="K768" s="54"/>
      <c r="L768" s="54"/>
    </row>
    <row r="770" spans="1:12" ht="15.75" x14ac:dyDescent="0.25">
      <c r="C770" s="95" t="str">
        <f>Source!H272</f>
        <v>Итого</v>
      </c>
      <c r="D770" s="95"/>
      <c r="E770" s="95"/>
      <c r="F770" s="95"/>
      <c r="G770" s="95"/>
      <c r="H770" s="95"/>
      <c r="I770" s="95"/>
      <c r="J770" s="95"/>
      <c r="K770" s="95"/>
      <c r="L770" s="80">
        <f>L740</f>
        <v>2098606.7799999998</v>
      </c>
    </row>
    <row r="771" spans="1:12" ht="15.75" x14ac:dyDescent="0.25">
      <c r="C771" s="94" t="s">
        <v>660</v>
      </c>
      <c r="D771" s="94"/>
      <c r="E771" s="94"/>
      <c r="F771" s="94"/>
      <c r="G771" s="73"/>
      <c r="H771" s="73"/>
      <c r="I771" s="73"/>
      <c r="J771" s="74"/>
      <c r="K771" s="74"/>
      <c r="L771" s="75">
        <v>325746.38</v>
      </c>
    </row>
    <row r="772" spans="1:12" ht="15.75" x14ac:dyDescent="0.25">
      <c r="C772" s="94" t="s">
        <v>661</v>
      </c>
      <c r="D772" s="94"/>
      <c r="E772" s="94"/>
      <c r="F772" s="94"/>
      <c r="G772" s="73"/>
      <c r="H772" s="73"/>
      <c r="I772" s="73"/>
      <c r="J772" s="76"/>
      <c r="K772" s="76"/>
      <c r="L772" s="75">
        <v>80186.460000000006</v>
      </c>
    </row>
    <row r="773" spans="1:12" ht="15.75" x14ac:dyDescent="0.25">
      <c r="C773" s="73" t="s">
        <v>287</v>
      </c>
      <c r="D773" s="73"/>
      <c r="E773" s="73"/>
      <c r="F773" s="77"/>
      <c r="G773" s="73"/>
      <c r="H773" s="73"/>
      <c r="I773" s="73"/>
      <c r="J773" s="76"/>
      <c r="K773" s="76"/>
      <c r="L773" s="75">
        <f>L772+L771+L770</f>
        <v>2504539.6199999996</v>
      </c>
    </row>
    <row r="774" spans="1:12" ht="15.75" x14ac:dyDescent="0.25">
      <c r="C774" s="73" t="s">
        <v>662</v>
      </c>
      <c r="D774" s="78">
        <v>0.2</v>
      </c>
      <c r="E774" s="73"/>
      <c r="F774" s="77"/>
      <c r="G774" s="73"/>
      <c r="H774" s="73"/>
      <c r="I774" s="73"/>
      <c r="J774" s="76"/>
      <c r="K774" s="76"/>
      <c r="L774" s="75">
        <f>0.2*L773</f>
        <v>500907.92399999994</v>
      </c>
    </row>
    <row r="775" spans="1:12" ht="15.75" x14ac:dyDescent="0.25">
      <c r="C775" s="95" t="s">
        <v>291</v>
      </c>
      <c r="D775" s="95"/>
      <c r="E775" s="95"/>
      <c r="F775" s="95"/>
      <c r="G775" s="95"/>
      <c r="H775" s="95"/>
      <c r="I775" s="95"/>
      <c r="J775" s="54"/>
      <c r="K775" s="54"/>
      <c r="L775" s="79">
        <f>L774+L773</f>
        <v>3005447.5439999998</v>
      </c>
    </row>
    <row r="776" spans="1:12" ht="14.25" x14ac:dyDescent="0.2">
      <c r="C776" s="69"/>
      <c r="D776" s="69"/>
      <c r="E776" s="69"/>
      <c r="F776" s="69"/>
      <c r="G776" s="69"/>
      <c r="H776" s="69"/>
      <c r="I776" s="69"/>
      <c r="J776" s="69"/>
      <c r="K776" s="69"/>
      <c r="L776" s="52"/>
    </row>
    <row r="777" spans="1:12" ht="14.25" x14ac:dyDescent="0.2">
      <c r="C777" s="69"/>
      <c r="D777" s="69"/>
      <c r="E777" s="69"/>
      <c r="F777" s="69"/>
      <c r="G777" s="69"/>
      <c r="H777" s="69"/>
      <c r="I777" s="69"/>
      <c r="J777" s="69"/>
      <c r="K777" s="69"/>
      <c r="L777" s="52"/>
    </row>
    <row r="778" spans="1:12" ht="14.25" x14ac:dyDescent="0.2">
      <c r="C778" s="69"/>
      <c r="D778" s="69"/>
      <c r="E778" s="69"/>
      <c r="F778" s="69"/>
      <c r="G778" s="69"/>
      <c r="H778" s="69"/>
      <c r="I778" s="69"/>
      <c r="J778" s="69"/>
      <c r="K778" s="69"/>
      <c r="L778" s="52"/>
    </row>
    <row r="781" spans="1:12" ht="14.25" customHeight="1" x14ac:dyDescent="0.2">
      <c r="A781" s="126" t="s">
        <v>657</v>
      </c>
      <c r="B781" s="126"/>
      <c r="C781" s="72" t="str">
        <f>IF(Source!AC12&lt;&gt;"", Source!AC12," ")</f>
        <v xml:space="preserve"> </v>
      </c>
      <c r="D781" s="31"/>
      <c r="E781" s="31"/>
      <c r="F781" s="31"/>
      <c r="G781" s="31"/>
      <c r="H781" s="15" t="str">
        <f>IF(Source!AB12&lt;&gt;"", Source!AB12," ")</f>
        <v>Мишкина З.И.</v>
      </c>
      <c r="I781" s="23"/>
      <c r="J781" s="23"/>
      <c r="K781" s="35"/>
      <c r="L781" s="35"/>
    </row>
    <row r="782" spans="1:12" ht="14.25" customHeight="1" x14ac:dyDescent="0.2">
      <c r="A782" s="20"/>
      <c r="B782" s="20"/>
      <c r="C782" s="127" t="s">
        <v>658</v>
      </c>
      <c r="D782" s="127"/>
      <c r="E782" s="127"/>
      <c r="F782" s="127"/>
      <c r="G782" s="127"/>
      <c r="H782" s="23"/>
      <c r="I782" s="23"/>
      <c r="J782" s="23"/>
      <c r="K782" s="35"/>
      <c r="L782" s="35"/>
    </row>
    <row r="783" spans="1:12" ht="14.25" customHeight="1" x14ac:dyDescent="0.2">
      <c r="A783" s="20"/>
      <c r="B783" s="20"/>
      <c r="C783" s="84"/>
      <c r="D783" s="20"/>
      <c r="E783" s="20"/>
      <c r="F783" s="20"/>
      <c r="G783" s="20"/>
      <c r="H783" s="23"/>
      <c r="I783" s="23"/>
      <c r="J783" s="23"/>
      <c r="K783" s="35"/>
      <c r="L783" s="35"/>
    </row>
    <row r="784" spans="1:12" ht="14.25" customHeight="1" x14ac:dyDescent="0.2">
      <c r="A784" s="126" t="s">
        <v>659</v>
      </c>
      <c r="B784" s="126"/>
      <c r="C784" s="72" t="str">
        <f>IF(Source!AE12&lt;&gt;"", Source!AE12," ")</f>
        <v xml:space="preserve"> </v>
      </c>
      <c r="D784" s="31"/>
      <c r="E784" s="31"/>
      <c r="F784" s="31"/>
      <c r="G784" s="31"/>
      <c r="H784" s="15" t="str">
        <f>IF(Source!AD12&lt;&gt;"", Source!AD12," ")</f>
        <v>Сукочев А.А.</v>
      </c>
      <c r="I784" s="23"/>
      <c r="J784" s="23"/>
      <c r="K784" s="35"/>
      <c r="L784" s="35"/>
    </row>
    <row r="785" spans="1:12" ht="14.25" customHeight="1" x14ac:dyDescent="0.2">
      <c r="A785" s="20"/>
      <c r="B785" s="20"/>
      <c r="C785" s="127" t="s">
        <v>658</v>
      </c>
      <c r="D785" s="127"/>
      <c r="E785" s="127"/>
      <c r="F785" s="127"/>
      <c r="G785" s="127"/>
      <c r="H785" s="23"/>
      <c r="I785" s="23"/>
      <c r="J785" s="23"/>
      <c r="K785" s="35"/>
      <c r="L785" s="35"/>
    </row>
  </sheetData>
  <mergeCells count="399">
    <mergeCell ref="A784:B784"/>
    <mergeCell ref="C785:G785"/>
    <mergeCell ref="C768:F768"/>
    <mergeCell ref="C770:K770"/>
    <mergeCell ref="A781:B781"/>
    <mergeCell ref="C782:G782"/>
    <mergeCell ref="C762:H762"/>
    <mergeCell ref="C763:H763"/>
    <mergeCell ref="C764:H764"/>
    <mergeCell ref="C765:H765"/>
    <mergeCell ref="C766:H766"/>
    <mergeCell ref="C767:F767"/>
    <mergeCell ref="C756:H756"/>
    <mergeCell ref="C757:H757"/>
    <mergeCell ref="C758:H758"/>
    <mergeCell ref="C759:H759"/>
    <mergeCell ref="C760:H760"/>
    <mergeCell ref="C761:H761"/>
    <mergeCell ref="C750:H750"/>
    <mergeCell ref="C751:H751"/>
    <mergeCell ref="C752:H752"/>
    <mergeCell ref="C753:H753"/>
    <mergeCell ref="C754:H754"/>
    <mergeCell ref="C755:H755"/>
    <mergeCell ref="C744:H744"/>
    <mergeCell ref="C745:H745"/>
    <mergeCell ref="C746:H746"/>
    <mergeCell ref="C747:H747"/>
    <mergeCell ref="C748:H748"/>
    <mergeCell ref="C749:H749"/>
    <mergeCell ref="C737:H737"/>
    <mergeCell ref="C738:H738"/>
    <mergeCell ref="C740:H740"/>
    <mergeCell ref="C741:H741"/>
    <mergeCell ref="C742:H742"/>
    <mergeCell ref="C743:H743"/>
    <mergeCell ref="C731:H731"/>
    <mergeCell ref="C732:H732"/>
    <mergeCell ref="C733:H733"/>
    <mergeCell ref="C734:H734"/>
    <mergeCell ref="C735:H735"/>
    <mergeCell ref="C736:H736"/>
    <mergeCell ref="C725:H725"/>
    <mergeCell ref="C726:H726"/>
    <mergeCell ref="C727:H727"/>
    <mergeCell ref="C728:H728"/>
    <mergeCell ref="C729:H729"/>
    <mergeCell ref="C730:H730"/>
    <mergeCell ref="C719:H719"/>
    <mergeCell ref="C720:H720"/>
    <mergeCell ref="C721:H721"/>
    <mergeCell ref="C722:H722"/>
    <mergeCell ref="C723:H723"/>
    <mergeCell ref="C724:H724"/>
    <mergeCell ref="C712:H712"/>
    <mergeCell ref="C713:H713"/>
    <mergeCell ref="C714:H714"/>
    <mergeCell ref="C716:H716"/>
    <mergeCell ref="C717:H717"/>
    <mergeCell ref="C718:H718"/>
    <mergeCell ref="C705:H705"/>
    <mergeCell ref="C706:H706"/>
    <mergeCell ref="C707:H707"/>
    <mergeCell ref="C708:H708"/>
    <mergeCell ref="C709:H709"/>
    <mergeCell ref="C711:H711"/>
    <mergeCell ref="C699:H699"/>
    <mergeCell ref="C700:H700"/>
    <mergeCell ref="C701:H701"/>
    <mergeCell ref="C702:H702"/>
    <mergeCell ref="C703:H703"/>
    <mergeCell ref="C704:H704"/>
    <mergeCell ref="C693:H693"/>
    <mergeCell ref="C694:H694"/>
    <mergeCell ref="C695:H695"/>
    <mergeCell ref="C696:H696"/>
    <mergeCell ref="C697:H697"/>
    <mergeCell ref="C698:H698"/>
    <mergeCell ref="C686:H686"/>
    <mergeCell ref="C687:H687"/>
    <mergeCell ref="C688:H688"/>
    <mergeCell ref="C689:H689"/>
    <mergeCell ref="C691:H691"/>
    <mergeCell ref="C692:H692"/>
    <mergeCell ref="C680:H680"/>
    <mergeCell ref="C681:H681"/>
    <mergeCell ref="C682:H682"/>
    <mergeCell ref="C683:H683"/>
    <mergeCell ref="C684:H684"/>
    <mergeCell ref="C685:H685"/>
    <mergeCell ref="C674:H674"/>
    <mergeCell ref="C675:H675"/>
    <mergeCell ref="C676:H676"/>
    <mergeCell ref="C677:H677"/>
    <mergeCell ref="C678:H678"/>
    <mergeCell ref="C679:H679"/>
    <mergeCell ref="C665:F665"/>
    <mergeCell ref="C666:F666"/>
    <mergeCell ref="C669:H669"/>
    <mergeCell ref="C671:H671"/>
    <mergeCell ref="C672:H672"/>
    <mergeCell ref="C673:H673"/>
    <mergeCell ref="C659:H659"/>
    <mergeCell ref="C660:H660"/>
    <mergeCell ref="C661:H661"/>
    <mergeCell ref="C662:H662"/>
    <mergeCell ref="C663:H663"/>
    <mergeCell ref="C664:H664"/>
    <mergeCell ref="C653:H653"/>
    <mergeCell ref="C654:H654"/>
    <mergeCell ref="C655:H655"/>
    <mergeCell ref="C656:H656"/>
    <mergeCell ref="C657:H657"/>
    <mergeCell ref="C658:H658"/>
    <mergeCell ref="C647:H647"/>
    <mergeCell ref="C648:H648"/>
    <mergeCell ref="C649:H649"/>
    <mergeCell ref="C650:H650"/>
    <mergeCell ref="C651:H651"/>
    <mergeCell ref="C652:H652"/>
    <mergeCell ref="C641:H641"/>
    <mergeCell ref="C642:H642"/>
    <mergeCell ref="C643:H643"/>
    <mergeCell ref="C644:H644"/>
    <mergeCell ref="C645:H645"/>
    <mergeCell ref="C646:H646"/>
    <mergeCell ref="C636:H636"/>
    <mergeCell ref="I636:J636"/>
    <mergeCell ref="K636:L636"/>
    <mergeCell ref="C638:H638"/>
    <mergeCell ref="C639:H639"/>
    <mergeCell ref="C640:H640"/>
    <mergeCell ref="C617:H617"/>
    <mergeCell ref="I617:J617"/>
    <mergeCell ref="K617:L617"/>
    <mergeCell ref="C626:H626"/>
    <mergeCell ref="I626:J626"/>
    <mergeCell ref="K626:L626"/>
    <mergeCell ref="C599:H599"/>
    <mergeCell ref="I599:J599"/>
    <mergeCell ref="K599:L599"/>
    <mergeCell ref="C608:H608"/>
    <mergeCell ref="I608:J608"/>
    <mergeCell ref="K608:L608"/>
    <mergeCell ref="C577:F577"/>
    <mergeCell ref="C578:F578"/>
    <mergeCell ref="A581:L581"/>
    <mergeCell ref="C590:H590"/>
    <mergeCell ref="I590:J590"/>
    <mergeCell ref="K590:L590"/>
    <mergeCell ref="C571:H571"/>
    <mergeCell ref="C572:H572"/>
    <mergeCell ref="C573:H573"/>
    <mergeCell ref="C574:H574"/>
    <mergeCell ref="C575:H575"/>
    <mergeCell ref="C576:H576"/>
    <mergeCell ref="C565:H565"/>
    <mergeCell ref="C566:H566"/>
    <mergeCell ref="C567:H567"/>
    <mergeCell ref="C568:H568"/>
    <mergeCell ref="C569:H569"/>
    <mergeCell ref="C570:H570"/>
    <mergeCell ref="C559:H559"/>
    <mergeCell ref="C560:H560"/>
    <mergeCell ref="C561:H561"/>
    <mergeCell ref="C562:H562"/>
    <mergeCell ref="C563:H563"/>
    <mergeCell ref="C564:H564"/>
    <mergeCell ref="C553:H553"/>
    <mergeCell ref="C554:H554"/>
    <mergeCell ref="C555:H555"/>
    <mergeCell ref="C556:H556"/>
    <mergeCell ref="C557:H557"/>
    <mergeCell ref="C558:H558"/>
    <mergeCell ref="C548:H548"/>
    <mergeCell ref="I548:J548"/>
    <mergeCell ref="K548:L548"/>
    <mergeCell ref="C550:H550"/>
    <mergeCell ref="C551:H551"/>
    <mergeCell ref="C552:H552"/>
    <mergeCell ref="C543:H543"/>
    <mergeCell ref="I543:J543"/>
    <mergeCell ref="K543:L543"/>
    <mergeCell ref="C546:H546"/>
    <mergeCell ref="I546:J546"/>
    <mergeCell ref="K546:L546"/>
    <mergeCell ref="C539:H539"/>
    <mergeCell ref="I539:J539"/>
    <mergeCell ref="K539:L539"/>
    <mergeCell ref="C541:H541"/>
    <mergeCell ref="I541:J541"/>
    <mergeCell ref="K541:L541"/>
    <mergeCell ref="C534:H534"/>
    <mergeCell ref="I534:J534"/>
    <mergeCell ref="K534:L534"/>
    <mergeCell ref="C537:H537"/>
    <mergeCell ref="I537:J537"/>
    <mergeCell ref="K537:L537"/>
    <mergeCell ref="C529:H529"/>
    <mergeCell ref="I529:J529"/>
    <mergeCell ref="K529:L529"/>
    <mergeCell ref="C532:H532"/>
    <mergeCell ref="I532:J532"/>
    <mergeCell ref="K532:L532"/>
    <mergeCell ref="C523:H523"/>
    <mergeCell ref="I523:J523"/>
    <mergeCell ref="K523:L523"/>
    <mergeCell ref="C526:H526"/>
    <mergeCell ref="I526:J526"/>
    <mergeCell ref="K526:L526"/>
    <mergeCell ref="C518:H518"/>
    <mergeCell ref="I518:J518"/>
    <mergeCell ref="K518:L518"/>
    <mergeCell ref="C520:H520"/>
    <mergeCell ref="I520:J520"/>
    <mergeCell ref="K520:L520"/>
    <mergeCell ref="C512:H512"/>
    <mergeCell ref="I512:J512"/>
    <mergeCell ref="K512:L512"/>
    <mergeCell ref="C515:H515"/>
    <mergeCell ref="I515:J515"/>
    <mergeCell ref="K515:L515"/>
    <mergeCell ref="C506:H506"/>
    <mergeCell ref="I506:J506"/>
    <mergeCell ref="K506:L506"/>
    <mergeCell ref="C509:H509"/>
    <mergeCell ref="I509:J509"/>
    <mergeCell ref="K509:L509"/>
    <mergeCell ref="C497:H497"/>
    <mergeCell ref="C498:H498"/>
    <mergeCell ref="C499:H499"/>
    <mergeCell ref="C500:F500"/>
    <mergeCell ref="C501:F501"/>
    <mergeCell ref="A504:L504"/>
    <mergeCell ref="C491:H491"/>
    <mergeCell ref="C492:H492"/>
    <mergeCell ref="C493:H493"/>
    <mergeCell ref="C494:H494"/>
    <mergeCell ref="C495:H495"/>
    <mergeCell ref="C496:H496"/>
    <mergeCell ref="C485:H485"/>
    <mergeCell ref="C486:H486"/>
    <mergeCell ref="C487:H487"/>
    <mergeCell ref="C488:H488"/>
    <mergeCell ref="C489:H489"/>
    <mergeCell ref="C490:H490"/>
    <mergeCell ref="C479:H479"/>
    <mergeCell ref="C480:H480"/>
    <mergeCell ref="C481:H481"/>
    <mergeCell ref="C482:H482"/>
    <mergeCell ref="C483:H483"/>
    <mergeCell ref="C484:H484"/>
    <mergeCell ref="C473:H473"/>
    <mergeCell ref="C474:H474"/>
    <mergeCell ref="C475:H475"/>
    <mergeCell ref="C476:H476"/>
    <mergeCell ref="C477:H477"/>
    <mergeCell ref="C478:H478"/>
    <mergeCell ref="C451:H451"/>
    <mergeCell ref="I451:J451"/>
    <mergeCell ref="K451:L451"/>
    <mergeCell ref="C471:H471"/>
    <mergeCell ref="I471:J471"/>
    <mergeCell ref="K471:L471"/>
    <mergeCell ref="C410:H410"/>
    <mergeCell ref="I410:J410"/>
    <mergeCell ref="K410:L410"/>
    <mergeCell ref="C432:H432"/>
    <mergeCell ref="I432:J432"/>
    <mergeCell ref="K432:L432"/>
    <mergeCell ref="C373:H373"/>
    <mergeCell ref="I373:J373"/>
    <mergeCell ref="K373:L373"/>
    <mergeCell ref="C393:H393"/>
    <mergeCell ref="I393:J393"/>
    <mergeCell ref="K393:L393"/>
    <mergeCell ref="C336:H336"/>
    <mergeCell ref="I336:J336"/>
    <mergeCell ref="K336:L336"/>
    <mergeCell ref="C349:H349"/>
    <mergeCell ref="I349:J349"/>
    <mergeCell ref="K349:L349"/>
    <mergeCell ref="C292:H292"/>
    <mergeCell ref="I292:J292"/>
    <mergeCell ref="K292:L292"/>
    <mergeCell ref="C314:H314"/>
    <mergeCell ref="I314:J314"/>
    <mergeCell ref="K314:L314"/>
    <mergeCell ref="C259:H259"/>
    <mergeCell ref="C260:F260"/>
    <mergeCell ref="C261:F261"/>
    <mergeCell ref="A264:L264"/>
    <mergeCell ref="C279:H279"/>
    <mergeCell ref="I279:J279"/>
    <mergeCell ref="K279:L279"/>
    <mergeCell ref="C253:H253"/>
    <mergeCell ref="C254:H254"/>
    <mergeCell ref="C255:H255"/>
    <mergeCell ref="C256:H256"/>
    <mergeCell ref="C257:H257"/>
    <mergeCell ref="C258:H258"/>
    <mergeCell ref="C247:H247"/>
    <mergeCell ref="C248:H248"/>
    <mergeCell ref="C249:H249"/>
    <mergeCell ref="C250:H250"/>
    <mergeCell ref="C251:H251"/>
    <mergeCell ref="C252:H252"/>
    <mergeCell ref="C241:H241"/>
    <mergeCell ref="C242:H242"/>
    <mergeCell ref="C243:H243"/>
    <mergeCell ref="C244:H244"/>
    <mergeCell ref="C245:H245"/>
    <mergeCell ref="C246:H246"/>
    <mergeCell ref="C235:H235"/>
    <mergeCell ref="C236:H236"/>
    <mergeCell ref="C237:H237"/>
    <mergeCell ref="C238:H238"/>
    <mergeCell ref="C239:H239"/>
    <mergeCell ref="C240:H240"/>
    <mergeCell ref="C212:L212"/>
    <mergeCell ref="C231:H231"/>
    <mergeCell ref="I231:J231"/>
    <mergeCell ref="K231:L231"/>
    <mergeCell ref="C233:H233"/>
    <mergeCell ref="C234:H234"/>
    <mergeCell ref="C169:L169"/>
    <mergeCell ref="C190:H190"/>
    <mergeCell ref="I190:J190"/>
    <mergeCell ref="K190:L190"/>
    <mergeCell ref="C192:L192"/>
    <mergeCell ref="C210:H210"/>
    <mergeCell ref="I210:J210"/>
    <mergeCell ref="K210:L210"/>
    <mergeCell ref="C138:L138"/>
    <mergeCell ref="C150:H150"/>
    <mergeCell ref="I150:J150"/>
    <mergeCell ref="K150:L150"/>
    <mergeCell ref="C152:L152"/>
    <mergeCell ref="C167:H167"/>
    <mergeCell ref="I167:J167"/>
    <mergeCell ref="K167:L167"/>
    <mergeCell ref="C124:H124"/>
    <mergeCell ref="I124:J124"/>
    <mergeCell ref="K124:L124"/>
    <mergeCell ref="C136:H136"/>
    <mergeCell ref="I136:J136"/>
    <mergeCell ref="K136:L136"/>
    <mergeCell ref="C96:H96"/>
    <mergeCell ref="I96:J96"/>
    <mergeCell ref="K96:L96"/>
    <mergeCell ref="C110:H110"/>
    <mergeCell ref="I110:J110"/>
    <mergeCell ref="K110:L110"/>
    <mergeCell ref="A54:L54"/>
    <mergeCell ref="C68:H68"/>
    <mergeCell ref="I68:J68"/>
    <mergeCell ref="K68:L68"/>
    <mergeCell ref="C83:H83"/>
    <mergeCell ref="I83:J83"/>
    <mergeCell ref="K83:L83"/>
    <mergeCell ref="A47:A51"/>
    <mergeCell ref="B47:B51"/>
    <mergeCell ref="C47:C51"/>
    <mergeCell ref="D47:D51"/>
    <mergeCell ref="E47:G50"/>
    <mergeCell ref="H47:L50"/>
    <mergeCell ref="C35:L35"/>
    <mergeCell ref="C39:D39"/>
    <mergeCell ref="C42:D42"/>
    <mergeCell ref="C43:D43"/>
    <mergeCell ref="C44:D44"/>
    <mergeCell ref="C45:D45"/>
    <mergeCell ref="A28:L28"/>
    <mergeCell ref="A29:L29"/>
    <mergeCell ref="C34:L34"/>
    <mergeCell ref="A2:E2"/>
    <mergeCell ref="F2:L2"/>
    <mergeCell ref="A4:E4"/>
    <mergeCell ref="F4:L4"/>
    <mergeCell ref="A6:E6"/>
    <mergeCell ref="F6:L6"/>
    <mergeCell ref="C771:F771"/>
    <mergeCell ref="C772:F772"/>
    <mergeCell ref="C775:I775"/>
    <mergeCell ref="B18:C18"/>
    <mergeCell ref="B20:F20"/>
    <mergeCell ref="B22:E22"/>
    <mergeCell ref="B24:C24"/>
    <mergeCell ref="A26:L26"/>
    <mergeCell ref="A14:E14"/>
    <mergeCell ref="F14:L14"/>
    <mergeCell ref="A16:E16"/>
    <mergeCell ref="F16:L16"/>
    <mergeCell ref="A8:E8"/>
    <mergeCell ref="F8:L8"/>
    <mergeCell ref="A10:E10"/>
    <mergeCell ref="F10:L10"/>
    <mergeCell ref="A12:E12"/>
    <mergeCell ref="F12:L12"/>
  </mergeCells>
  <pageMargins left="0.39370078740157483" right="0.19685039370078741" top="0.39370078740157483" bottom="0.39370078740157483" header="0.19685039370078741" footer="0.19685039370078741"/>
  <pageSetup paperSize="9" scale="46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1D8A8-2F1B-4427-AABC-0A830A594448}">
  <dimension ref="A1:IK341"/>
  <sheetViews>
    <sheetView workbookViewId="0">
      <selection activeCell="A337" sqref="A337:AX337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335</v>
      </c>
      <c r="C12" s="1">
        <v>0</v>
      </c>
      <c r="D12" s="1">
        <f>ROW(A276)</f>
        <v>276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527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06" x14ac:dyDescent="0.2">
      <c r="A18" s="2">
        <v>52</v>
      </c>
      <c r="B18" s="2">
        <f t="shared" ref="B18:G18" si="0">B276</f>
        <v>335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ВЛ-0,4кВ</v>
      </c>
      <c r="H18" s="2"/>
      <c r="I18" s="2"/>
      <c r="J18" s="2"/>
      <c r="K18" s="2"/>
      <c r="L18" s="2"/>
      <c r="M18" s="2"/>
      <c r="N18" s="2"/>
      <c r="O18" s="2">
        <f t="shared" ref="O18:AT18" si="1">O276</f>
        <v>1453670.6</v>
      </c>
      <c r="P18" s="2">
        <f t="shared" si="1"/>
        <v>819271.41</v>
      </c>
      <c r="Q18" s="2">
        <f t="shared" si="1"/>
        <v>212378.67</v>
      </c>
      <c r="R18" s="2">
        <f t="shared" si="1"/>
        <v>91422.9</v>
      </c>
      <c r="S18" s="2">
        <f t="shared" si="1"/>
        <v>330597.62</v>
      </c>
      <c r="T18" s="2">
        <f t="shared" si="1"/>
        <v>0</v>
      </c>
      <c r="U18" s="2">
        <f t="shared" si="1"/>
        <v>683.62939999999992</v>
      </c>
      <c r="V18" s="2">
        <f t="shared" si="1"/>
        <v>167.55665999999999</v>
      </c>
      <c r="W18" s="2">
        <f t="shared" si="1"/>
        <v>0</v>
      </c>
      <c r="X18" s="2">
        <f t="shared" si="1"/>
        <v>413381.56</v>
      </c>
      <c r="Y18" s="2">
        <f t="shared" si="1"/>
        <v>231554.62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17632.439999999999</v>
      </c>
      <c r="AP18" s="2">
        <f t="shared" si="1"/>
        <v>0</v>
      </c>
      <c r="AQ18" s="2">
        <f t="shared" si="1"/>
        <v>0</v>
      </c>
      <c r="AR18" s="2">
        <f t="shared" si="1"/>
        <v>2098606.7799999998</v>
      </c>
      <c r="AS18" s="2">
        <f t="shared" si="1"/>
        <v>1268468.45</v>
      </c>
      <c r="AT18" s="2">
        <f t="shared" si="1"/>
        <v>719304.36</v>
      </c>
      <c r="AU18" s="2">
        <f t="shared" ref="AU18:BZ18" si="2">AU276</f>
        <v>110833.97</v>
      </c>
      <c r="AV18" s="2">
        <f t="shared" si="2"/>
        <v>801638.97</v>
      </c>
      <c r="AW18" s="2">
        <f t="shared" si="2"/>
        <v>819271.41</v>
      </c>
      <c r="AX18" s="2">
        <f t="shared" si="2"/>
        <v>17632.439999999999</v>
      </c>
      <c r="AY18" s="2">
        <f t="shared" si="2"/>
        <v>801638.97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CA276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DG276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EM276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FS276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06" x14ac:dyDescent="0.2">
      <c r="A20" s="1">
        <v>3</v>
      </c>
      <c r="B20" s="1">
        <v>0</v>
      </c>
      <c r="C20" s="1"/>
      <c r="D20" s="1">
        <f>ROW(A24)</f>
        <v>24</v>
      </c>
      <c r="E20" s="1"/>
      <c r="F20" s="1" t="s">
        <v>3</v>
      </c>
      <c r="G20" s="1" t="s">
        <v>16</v>
      </c>
      <c r="H20" s="1" t="s">
        <v>3</v>
      </c>
      <c r="I20" s="1">
        <v>0</v>
      </c>
      <c r="J20" s="1" t="s">
        <v>3</v>
      </c>
      <c r="K20" s="1">
        <v>0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06" x14ac:dyDescent="0.2">
      <c r="A22" s="2">
        <v>52</v>
      </c>
      <c r="B22" s="2">
        <f t="shared" ref="B22:G22" si="7">B24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O24</f>
        <v>0</v>
      </c>
      <c r="P22" s="2">
        <f t="shared" si="8"/>
        <v>0</v>
      </c>
      <c r="Q22" s="2">
        <f t="shared" si="8"/>
        <v>0</v>
      </c>
      <c r="R22" s="2">
        <f t="shared" si="8"/>
        <v>0</v>
      </c>
      <c r="S22" s="2">
        <f t="shared" si="8"/>
        <v>0</v>
      </c>
      <c r="T22" s="2">
        <f t="shared" si="8"/>
        <v>0</v>
      </c>
      <c r="U22" s="2">
        <f t="shared" si="8"/>
        <v>0</v>
      </c>
      <c r="V22" s="2">
        <f t="shared" si="8"/>
        <v>0</v>
      </c>
      <c r="W22" s="2">
        <f t="shared" si="8"/>
        <v>0</v>
      </c>
      <c r="X22" s="2">
        <f t="shared" si="8"/>
        <v>0</v>
      </c>
      <c r="Y22" s="2">
        <f t="shared" si="8"/>
        <v>0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0</v>
      </c>
      <c r="AS22" s="2">
        <f t="shared" si="8"/>
        <v>0</v>
      </c>
      <c r="AT22" s="2">
        <f t="shared" si="8"/>
        <v>0</v>
      </c>
      <c r="AU22" s="2">
        <f t="shared" ref="AU22:BZ22" si="9">AU24</f>
        <v>0</v>
      </c>
      <c r="AV22" s="2">
        <f t="shared" si="9"/>
        <v>0</v>
      </c>
      <c r="AW22" s="2">
        <f t="shared" si="9"/>
        <v>0</v>
      </c>
      <c r="AX22" s="2">
        <f t="shared" si="9"/>
        <v>0</v>
      </c>
      <c r="AY22" s="2">
        <f t="shared" si="9"/>
        <v>0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06" x14ac:dyDescent="0.2">
      <c r="A24" s="2">
        <v>51</v>
      </c>
      <c r="B24" s="2">
        <f>B20</f>
        <v>0</v>
      </c>
      <c r="C24" s="2">
        <f>A20</f>
        <v>3</v>
      </c>
      <c r="D24" s="2">
        <f>ROW(A20)</f>
        <v>20</v>
      </c>
      <c r="E24" s="2"/>
      <c r="F24" s="2" t="str">
        <f>IF(F20&lt;&gt;"",F20,"")</f>
        <v/>
      </c>
      <c r="G24" s="2" t="str">
        <f>IF(G20&lt;&gt;"",G20,"")</f>
        <v>Новая локальная смета</v>
      </c>
      <c r="H24" s="2">
        <v>0</v>
      </c>
      <c r="I24" s="2"/>
      <c r="J24" s="2"/>
      <c r="K24" s="2"/>
      <c r="L24" s="2"/>
      <c r="M24" s="2"/>
      <c r="N24" s="2"/>
      <c r="O24" s="2">
        <f t="shared" ref="O24:Y24" si="14">AB24</f>
        <v>0</v>
      </c>
      <c r="P24" s="2">
        <f t="shared" si="14"/>
        <v>0</v>
      </c>
      <c r="Q24" s="2">
        <f t="shared" si="14"/>
        <v>0</v>
      </c>
      <c r="R24" s="2">
        <f t="shared" si="14"/>
        <v>0</v>
      </c>
      <c r="S24" s="2">
        <f t="shared" si="14"/>
        <v>0</v>
      </c>
      <c r="T24" s="2">
        <f t="shared" si="14"/>
        <v>0</v>
      </c>
      <c r="U24" s="2">
        <f t="shared" si="14"/>
        <v>0</v>
      </c>
      <c r="V24" s="2">
        <f t="shared" si="14"/>
        <v>0</v>
      </c>
      <c r="W24" s="2">
        <f t="shared" si="14"/>
        <v>0</v>
      </c>
      <c r="X24" s="2">
        <f t="shared" si="14"/>
        <v>0</v>
      </c>
      <c r="Y24" s="2">
        <f t="shared" si="14"/>
        <v>0</v>
      </c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>
        <f t="shared" ref="AO24:BD24" si="15">BX24</f>
        <v>0</v>
      </c>
      <c r="AP24" s="2">
        <f t="shared" si="15"/>
        <v>0</v>
      </c>
      <c r="AQ24" s="2">
        <f t="shared" si="15"/>
        <v>0</v>
      </c>
      <c r="AR24" s="2">
        <f t="shared" si="15"/>
        <v>0</v>
      </c>
      <c r="AS24" s="2">
        <f t="shared" si="15"/>
        <v>0</v>
      </c>
      <c r="AT24" s="2">
        <f t="shared" si="15"/>
        <v>0</v>
      </c>
      <c r="AU24" s="2">
        <f t="shared" si="15"/>
        <v>0</v>
      </c>
      <c r="AV24" s="2">
        <f t="shared" si="15"/>
        <v>0</v>
      </c>
      <c r="AW24" s="2">
        <f t="shared" si="15"/>
        <v>0</v>
      </c>
      <c r="AX24" s="2">
        <f t="shared" si="15"/>
        <v>0</v>
      </c>
      <c r="AY24" s="2">
        <f t="shared" si="15"/>
        <v>0</v>
      </c>
      <c r="AZ24" s="2">
        <f t="shared" si="15"/>
        <v>0</v>
      </c>
      <c r="BA24" s="2">
        <f t="shared" si="15"/>
        <v>0</v>
      </c>
      <c r="BB24" s="2">
        <f t="shared" si="15"/>
        <v>0</v>
      </c>
      <c r="BC24" s="2">
        <f t="shared" si="15"/>
        <v>0</v>
      </c>
      <c r="BD24" s="2">
        <f t="shared" si="15"/>
        <v>0</v>
      </c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>
        <v>0</v>
      </c>
    </row>
    <row r="26" spans="1:206" x14ac:dyDescent="0.2">
      <c r="A26" s="4">
        <v>50</v>
      </c>
      <c r="B26" s="4">
        <v>0</v>
      </c>
      <c r="C26" s="4">
        <v>0</v>
      </c>
      <c r="D26" s="4">
        <v>1</v>
      </c>
      <c r="E26" s="4">
        <v>201</v>
      </c>
      <c r="F26" s="4">
        <f>ROUND(Source!O24,O26)</f>
        <v>0</v>
      </c>
      <c r="G26" s="4" t="s">
        <v>17</v>
      </c>
      <c r="H26" s="4" t="s">
        <v>18</v>
      </c>
      <c r="I26" s="4"/>
      <c r="J26" s="4"/>
      <c r="K26" s="4">
        <v>201</v>
      </c>
      <c r="L26" s="4">
        <v>1</v>
      </c>
      <c r="M26" s="4">
        <v>3</v>
      </c>
      <c r="N26" s="4" t="s">
        <v>3</v>
      </c>
      <c r="O26" s="4">
        <v>0</v>
      </c>
      <c r="P26" s="4"/>
      <c r="Q26" s="4"/>
      <c r="R26" s="4"/>
      <c r="S26" s="4"/>
      <c r="T26" s="4"/>
      <c r="U26" s="4"/>
      <c r="V26" s="4"/>
      <c r="W26" s="4">
        <v>0</v>
      </c>
      <c r="X26" s="4">
        <v>1</v>
      </c>
      <c r="Y26" s="4">
        <v>0</v>
      </c>
      <c r="Z26" s="4"/>
      <c r="AA26" s="4"/>
      <c r="AB26" s="4"/>
    </row>
    <row r="27" spans="1:206" x14ac:dyDescent="0.2">
      <c r="A27" s="4">
        <v>50</v>
      </c>
      <c r="B27" s="4">
        <v>0</v>
      </c>
      <c r="C27" s="4">
        <v>0</v>
      </c>
      <c r="D27" s="4">
        <v>1</v>
      </c>
      <c r="E27" s="4">
        <v>202</v>
      </c>
      <c r="F27" s="4">
        <f>ROUND(Source!P24,O27)</f>
        <v>0</v>
      </c>
      <c r="G27" s="4" t="s">
        <v>19</v>
      </c>
      <c r="H27" s="4" t="s">
        <v>20</v>
      </c>
      <c r="I27" s="4"/>
      <c r="J27" s="4"/>
      <c r="K27" s="4">
        <v>202</v>
      </c>
      <c r="L27" s="4">
        <v>2</v>
      </c>
      <c r="M27" s="4">
        <v>3</v>
      </c>
      <c r="N27" s="4" t="s">
        <v>3</v>
      </c>
      <c r="O27" s="4">
        <v>0</v>
      </c>
      <c r="P27" s="4"/>
      <c r="Q27" s="4"/>
      <c r="R27" s="4"/>
      <c r="S27" s="4"/>
      <c r="T27" s="4"/>
      <c r="U27" s="4"/>
      <c r="V27" s="4"/>
      <c r="W27" s="4">
        <v>0</v>
      </c>
      <c r="X27" s="4">
        <v>1</v>
      </c>
      <c r="Y27" s="4">
        <v>0</v>
      </c>
      <c r="Z27" s="4"/>
      <c r="AA27" s="4"/>
      <c r="AB27" s="4"/>
    </row>
    <row r="28" spans="1:206" x14ac:dyDescent="0.2">
      <c r="A28" s="4">
        <v>50</v>
      </c>
      <c r="B28" s="4">
        <v>0</v>
      </c>
      <c r="C28" s="4">
        <v>0</v>
      </c>
      <c r="D28" s="4">
        <v>1</v>
      </c>
      <c r="E28" s="4">
        <v>222</v>
      </c>
      <c r="F28" s="4">
        <f>ROUND(Source!AO24,O28)</f>
        <v>0</v>
      </c>
      <c r="G28" s="4" t="s">
        <v>21</v>
      </c>
      <c r="H28" s="4" t="s">
        <v>22</v>
      </c>
      <c r="I28" s="4"/>
      <c r="J28" s="4"/>
      <c r="K28" s="4">
        <v>222</v>
      </c>
      <c r="L28" s="4">
        <v>3</v>
      </c>
      <c r="M28" s="4">
        <v>3</v>
      </c>
      <c r="N28" s="4" t="s">
        <v>3</v>
      </c>
      <c r="O28" s="4">
        <v>0</v>
      </c>
      <c r="P28" s="4"/>
      <c r="Q28" s="4"/>
      <c r="R28" s="4"/>
      <c r="S28" s="4"/>
      <c r="T28" s="4"/>
      <c r="U28" s="4"/>
      <c r="V28" s="4"/>
      <c r="W28" s="4">
        <v>0</v>
      </c>
      <c r="X28" s="4">
        <v>1</v>
      </c>
      <c r="Y28" s="4">
        <v>0</v>
      </c>
      <c r="Z28" s="4"/>
      <c r="AA28" s="4"/>
      <c r="AB28" s="4"/>
    </row>
    <row r="29" spans="1:206" x14ac:dyDescent="0.2">
      <c r="A29" s="4">
        <v>50</v>
      </c>
      <c r="B29" s="4">
        <v>0</v>
      </c>
      <c r="C29" s="4">
        <v>0</v>
      </c>
      <c r="D29" s="4">
        <v>1</v>
      </c>
      <c r="E29" s="4">
        <v>225</v>
      </c>
      <c r="F29" s="4">
        <f>ROUND(Source!AV24,O29)</f>
        <v>0</v>
      </c>
      <c r="G29" s="4" t="s">
        <v>23</v>
      </c>
      <c r="H29" s="4" t="s">
        <v>24</v>
      </c>
      <c r="I29" s="4"/>
      <c r="J29" s="4"/>
      <c r="K29" s="4">
        <v>225</v>
      </c>
      <c r="L29" s="4">
        <v>4</v>
      </c>
      <c r="M29" s="4">
        <v>3</v>
      </c>
      <c r="N29" s="4" t="s">
        <v>3</v>
      </c>
      <c r="O29" s="4">
        <v>0</v>
      </c>
      <c r="P29" s="4"/>
      <c r="Q29" s="4"/>
      <c r="R29" s="4"/>
      <c r="S29" s="4"/>
      <c r="T29" s="4"/>
      <c r="U29" s="4"/>
      <c r="V29" s="4"/>
      <c r="W29" s="4">
        <v>0</v>
      </c>
      <c r="X29" s="4">
        <v>1</v>
      </c>
      <c r="Y29" s="4">
        <v>0</v>
      </c>
      <c r="Z29" s="4"/>
      <c r="AA29" s="4"/>
      <c r="AB29" s="4"/>
    </row>
    <row r="30" spans="1:206" x14ac:dyDescent="0.2">
      <c r="A30" s="4">
        <v>50</v>
      </c>
      <c r="B30" s="4">
        <v>0</v>
      </c>
      <c r="C30" s="4">
        <v>0</v>
      </c>
      <c r="D30" s="4">
        <v>1</v>
      </c>
      <c r="E30" s="4">
        <v>226</v>
      </c>
      <c r="F30" s="4">
        <f>ROUND(Source!AW24,O30)</f>
        <v>0</v>
      </c>
      <c r="G30" s="4" t="s">
        <v>25</v>
      </c>
      <c r="H30" s="4" t="s">
        <v>26</v>
      </c>
      <c r="I30" s="4"/>
      <c r="J30" s="4"/>
      <c r="K30" s="4">
        <v>226</v>
      </c>
      <c r="L30" s="4">
        <v>5</v>
      </c>
      <c r="M30" s="4">
        <v>3</v>
      </c>
      <c r="N30" s="4" t="s">
        <v>3</v>
      </c>
      <c r="O30" s="4">
        <v>0</v>
      </c>
      <c r="P30" s="4"/>
      <c r="Q30" s="4"/>
      <c r="R30" s="4"/>
      <c r="S30" s="4"/>
      <c r="T30" s="4"/>
      <c r="U30" s="4"/>
      <c r="V30" s="4"/>
      <c r="W30" s="4">
        <v>0</v>
      </c>
      <c r="X30" s="4">
        <v>1</v>
      </c>
      <c r="Y30" s="4">
        <v>0</v>
      </c>
      <c r="Z30" s="4"/>
      <c r="AA30" s="4"/>
      <c r="AB30" s="4"/>
    </row>
    <row r="31" spans="1:206" x14ac:dyDescent="0.2">
      <c r="A31" s="4">
        <v>50</v>
      </c>
      <c r="B31" s="4">
        <v>0</v>
      </c>
      <c r="C31" s="4">
        <v>0</v>
      </c>
      <c r="D31" s="4">
        <v>1</v>
      </c>
      <c r="E31" s="4">
        <v>227</v>
      </c>
      <c r="F31" s="4">
        <f>ROUND(Source!AX24,O31)</f>
        <v>0</v>
      </c>
      <c r="G31" s="4" t="s">
        <v>27</v>
      </c>
      <c r="H31" s="4" t="s">
        <v>28</v>
      </c>
      <c r="I31" s="4"/>
      <c r="J31" s="4"/>
      <c r="K31" s="4">
        <v>227</v>
      </c>
      <c r="L31" s="4">
        <v>6</v>
      </c>
      <c r="M31" s="4">
        <v>3</v>
      </c>
      <c r="N31" s="4" t="s">
        <v>3</v>
      </c>
      <c r="O31" s="4">
        <v>0</v>
      </c>
      <c r="P31" s="4"/>
      <c r="Q31" s="4"/>
      <c r="R31" s="4"/>
      <c r="S31" s="4"/>
      <c r="T31" s="4"/>
      <c r="U31" s="4"/>
      <c r="V31" s="4"/>
      <c r="W31" s="4">
        <v>0</v>
      </c>
      <c r="X31" s="4">
        <v>1</v>
      </c>
      <c r="Y31" s="4">
        <v>0</v>
      </c>
      <c r="Z31" s="4"/>
      <c r="AA31" s="4"/>
      <c r="AB31" s="4"/>
    </row>
    <row r="32" spans="1:206" x14ac:dyDescent="0.2">
      <c r="A32" s="4">
        <v>50</v>
      </c>
      <c r="B32" s="4">
        <v>0</v>
      </c>
      <c r="C32" s="4">
        <v>0</v>
      </c>
      <c r="D32" s="4">
        <v>1</v>
      </c>
      <c r="E32" s="4">
        <v>228</v>
      </c>
      <c r="F32" s="4">
        <f>ROUND(Source!AY24,O32)</f>
        <v>0</v>
      </c>
      <c r="G32" s="4" t="s">
        <v>29</v>
      </c>
      <c r="H32" s="4" t="s">
        <v>30</v>
      </c>
      <c r="I32" s="4"/>
      <c r="J32" s="4"/>
      <c r="K32" s="4">
        <v>228</v>
      </c>
      <c r="L32" s="4">
        <v>7</v>
      </c>
      <c r="M32" s="4">
        <v>3</v>
      </c>
      <c r="N32" s="4" t="s">
        <v>3</v>
      </c>
      <c r="O32" s="4">
        <v>0</v>
      </c>
      <c r="P32" s="4"/>
      <c r="Q32" s="4"/>
      <c r="R32" s="4"/>
      <c r="S32" s="4"/>
      <c r="T32" s="4"/>
      <c r="U32" s="4"/>
      <c r="V32" s="4"/>
      <c r="W32" s="4">
        <v>0</v>
      </c>
      <c r="X32" s="4">
        <v>1</v>
      </c>
      <c r="Y32" s="4">
        <v>0</v>
      </c>
      <c r="Z32" s="4"/>
      <c r="AA32" s="4"/>
      <c r="AB32" s="4"/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216</v>
      </c>
      <c r="F33" s="4">
        <f>ROUND(Source!AP24,O33)</f>
        <v>0</v>
      </c>
      <c r="G33" s="4" t="s">
        <v>31</v>
      </c>
      <c r="H33" s="4" t="s">
        <v>32</v>
      </c>
      <c r="I33" s="4"/>
      <c r="J33" s="4"/>
      <c r="K33" s="4">
        <v>216</v>
      </c>
      <c r="L33" s="4">
        <v>8</v>
      </c>
      <c r="M33" s="4">
        <v>3</v>
      </c>
      <c r="N33" s="4" t="s">
        <v>3</v>
      </c>
      <c r="O33" s="4">
        <v>0</v>
      </c>
      <c r="P33" s="4"/>
      <c r="Q33" s="4"/>
      <c r="R33" s="4"/>
      <c r="S33" s="4"/>
      <c r="T33" s="4"/>
      <c r="U33" s="4"/>
      <c r="V33" s="4"/>
      <c r="W33" s="4">
        <v>0</v>
      </c>
      <c r="X33" s="4">
        <v>1</v>
      </c>
      <c r="Y33" s="4">
        <v>0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223</v>
      </c>
      <c r="F34" s="4">
        <f>ROUND(Source!AQ24,O34)</f>
        <v>0</v>
      </c>
      <c r="G34" s="4" t="s">
        <v>33</v>
      </c>
      <c r="H34" s="4" t="s">
        <v>34</v>
      </c>
      <c r="I34" s="4"/>
      <c r="J34" s="4"/>
      <c r="K34" s="4">
        <v>223</v>
      </c>
      <c r="L34" s="4">
        <v>9</v>
      </c>
      <c r="M34" s="4">
        <v>3</v>
      </c>
      <c r="N34" s="4" t="s">
        <v>3</v>
      </c>
      <c r="O34" s="4">
        <v>0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229</v>
      </c>
      <c r="F35" s="4">
        <f>ROUND(Source!AZ24,O35)</f>
        <v>0</v>
      </c>
      <c r="G35" s="4" t="s">
        <v>35</v>
      </c>
      <c r="H35" s="4" t="s">
        <v>36</v>
      </c>
      <c r="I35" s="4"/>
      <c r="J35" s="4"/>
      <c r="K35" s="4">
        <v>229</v>
      </c>
      <c r="L35" s="4">
        <v>10</v>
      </c>
      <c r="M35" s="4">
        <v>3</v>
      </c>
      <c r="N35" s="4" t="s">
        <v>3</v>
      </c>
      <c r="O35" s="4">
        <v>0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203</v>
      </c>
      <c r="F36" s="4">
        <f>ROUND(Source!Q24,O36)</f>
        <v>0</v>
      </c>
      <c r="G36" s="4" t="s">
        <v>37</v>
      </c>
      <c r="H36" s="4" t="s">
        <v>38</v>
      </c>
      <c r="I36" s="4"/>
      <c r="J36" s="4"/>
      <c r="K36" s="4">
        <v>203</v>
      </c>
      <c r="L36" s="4">
        <v>11</v>
      </c>
      <c r="M36" s="4">
        <v>3</v>
      </c>
      <c r="N36" s="4" t="s">
        <v>3</v>
      </c>
      <c r="O36" s="4">
        <v>0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231</v>
      </c>
      <c r="F37" s="4">
        <f>ROUND(Source!BB24,O37)</f>
        <v>0</v>
      </c>
      <c r="G37" s="4" t="s">
        <v>39</v>
      </c>
      <c r="H37" s="4" t="s">
        <v>40</v>
      </c>
      <c r="I37" s="4"/>
      <c r="J37" s="4"/>
      <c r="K37" s="4">
        <v>231</v>
      </c>
      <c r="L37" s="4">
        <v>12</v>
      </c>
      <c r="M37" s="4">
        <v>3</v>
      </c>
      <c r="N37" s="4" t="s">
        <v>3</v>
      </c>
      <c r="O37" s="4">
        <v>0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204</v>
      </c>
      <c r="F38" s="4">
        <f>ROUND(Source!R24,O38)</f>
        <v>0</v>
      </c>
      <c r="G38" s="4" t="s">
        <v>41</v>
      </c>
      <c r="H38" s="4" t="s">
        <v>42</v>
      </c>
      <c r="I38" s="4"/>
      <c r="J38" s="4"/>
      <c r="K38" s="4">
        <v>204</v>
      </c>
      <c r="L38" s="4">
        <v>13</v>
      </c>
      <c r="M38" s="4">
        <v>3</v>
      </c>
      <c r="N38" s="4" t="s">
        <v>3</v>
      </c>
      <c r="O38" s="4">
        <v>0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205</v>
      </c>
      <c r="F39" s="4">
        <f>ROUND(Source!S24,O39)</f>
        <v>0</v>
      </c>
      <c r="G39" s="4" t="s">
        <v>43</v>
      </c>
      <c r="H39" s="4" t="s">
        <v>44</v>
      </c>
      <c r="I39" s="4"/>
      <c r="J39" s="4"/>
      <c r="K39" s="4">
        <v>205</v>
      </c>
      <c r="L39" s="4">
        <v>14</v>
      </c>
      <c r="M39" s="4">
        <v>3</v>
      </c>
      <c r="N39" s="4" t="s">
        <v>3</v>
      </c>
      <c r="O39" s="4">
        <v>0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232</v>
      </c>
      <c r="F40" s="4">
        <f>ROUND(Source!BC24,O40)</f>
        <v>0</v>
      </c>
      <c r="G40" s="4" t="s">
        <v>45</v>
      </c>
      <c r="H40" s="4" t="s">
        <v>46</v>
      </c>
      <c r="I40" s="4"/>
      <c r="J40" s="4"/>
      <c r="K40" s="4">
        <v>232</v>
      </c>
      <c r="L40" s="4">
        <v>15</v>
      </c>
      <c r="M40" s="4">
        <v>3</v>
      </c>
      <c r="N40" s="4" t="s">
        <v>3</v>
      </c>
      <c r="O40" s="4">
        <v>0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214</v>
      </c>
      <c r="F41" s="4">
        <f>ROUND(Source!AS24,O41)</f>
        <v>0</v>
      </c>
      <c r="G41" s="4" t="s">
        <v>47</v>
      </c>
      <c r="H41" s="4" t="s">
        <v>48</v>
      </c>
      <c r="I41" s="4"/>
      <c r="J41" s="4"/>
      <c r="K41" s="4">
        <v>214</v>
      </c>
      <c r="L41" s="4">
        <v>16</v>
      </c>
      <c r="M41" s="4">
        <v>3</v>
      </c>
      <c r="N41" s="4" t="s">
        <v>3</v>
      </c>
      <c r="O41" s="4">
        <v>0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215</v>
      </c>
      <c r="F42" s="4">
        <f>ROUND(Source!AT24,O42)</f>
        <v>0</v>
      </c>
      <c r="G42" s="4" t="s">
        <v>49</v>
      </c>
      <c r="H42" s="4" t="s">
        <v>50</v>
      </c>
      <c r="I42" s="4"/>
      <c r="J42" s="4"/>
      <c r="K42" s="4">
        <v>215</v>
      </c>
      <c r="L42" s="4">
        <v>17</v>
      </c>
      <c r="M42" s="4">
        <v>3</v>
      </c>
      <c r="N42" s="4" t="s">
        <v>3</v>
      </c>
      <c r="O42" s="4">
        <v>0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217</v>
      </c>
      <c r="F43" s="4">
        <f>ROUND(Source!AU24,O43)</f>
        <v>0</v>
      </c>
      <c r="G43" s="4" t="s">
        <v>51</v>
      </c>
      <c r="H43" s="4" t="s">
        <v>52</v>
      </c>
      <c r="I43" s="4"/>
      <c r="J43" s="4"/>
      <c r="K43" s="4">
        <v>217</v>
      </c>
      <c r="L43" s="4">
        <v>18</v>
      </c>
      <c r="M43" s="4">
        <v>3</v>
      </c>
      <c r="N43" s="4" t="s">
        <v>3</v>
      </c>
      <c r="O43" s="4">
        <v>0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230</v>
      </c>
      <c r="F44" s="4">
        <f>ROUND(Source!BA24,O44)</f>
        <v>0</v>
      </c>
      <c r="G44" s="4" t="s">
        <v>53</v>
      </c>
      <c r="H44" s="4" t="s">
        <v>54</v>
      </c>
      <c r="I44" s="4"/>
      <c r="J44" s="4"/>
      <c r="K44" s="4">
        <v>230</v>
      </c>
      <c r="L44" s="4">
        <v>19</v>
      </c>
      <c r="M44" s="4">
        <v>3</v>
      </c>
      <c r="N44" s="4" t="s">
        <v>3</v>
      </c>
      <c r="O44" s="4">
        <v>0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206</v>
      </c>
      <c r="F45" s="4">
        <f>ROUND(Source!T24,O45)</f>
        <v>0</v>
      </c>
      <c r="G45" s="4" t="s">
        <v>55</v>
      </c>
      <c r="H45" s="4" t="s">
        <v>56</v>
      </c>
      <c r="I45" s="4"/>
      <c r="J45" s="4"/>
      <c r="K45" s="4">
        <v>206</v>
      </c>
      <c r="L45" s="4">
        <v>20</v>
      </c>
      <c r="M45" s="4">
        <v>3</v>
      </c>
      <c r="N45" s="4" t="s">
        <v>3</v>
      </c>
      <c r="O45" s="4">
        <v>0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207</v>
      </c>
      <c r="F46" s="4">
        <f>ROUND(Source!U24,O46)</f>
        <v>0</v>
      </c>
      <c r="G46" s="4" t="s">
        <v>57</v>
      </c>
      <c r="H46" s="4" t="s">
        <v>58</v>
      </c>
      <c r="I46" s="4"/>
      <c r="J46" s="4"/>
      <c r="K46" s="4">
        <v>207</v>
      </c>
      <c r="L46" s="4">
        <v>21</v>
      </c>
      <c r="M46" s="4">
        <v>3</v>
      </c>
      <c r="N46" s="4" t="s">
        <v>3</v>
      </c>
      <c r="O46" s="4">
        <v>7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208</v>
      </c>
      <c r="F47" s="4">
        <f>ROUND(Source!V24,O47)</f>
        <v>0</v>
      </c>
      <c r="G47" s="4" t="s">
        <v>59</v>
      </c>
      <c r="H47" s="4" t="s">
        <v>60</v>
      </c>
      <c r="I47" s="4"/>
      <c r="J47" s="4"/>
      <c r="K47" s="4">
        <v>208</v>
      </c>
      <c r="L47" s="4">
        <v>22</v>
      </c>
      <c r="M47" s="4">
        <v>3</v>
      </c>
      <c r="N47" s="4" t="s">
        <v>3</v>
      </c>
      <c r="O47" s="4">
        <v>7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209</v>
      </c>
      <c r="F48" s="4">
        <f>ROUND(Source!W24,O48)</f>
        <v>0</v>
      </c>
      <c r="G48" s="4" t="s">
        <v>61</v>
      </c>
      <c r="H48" s="4" t="s">
        <v>62</v>
      </c>
      <c r="I48" s="4"/>
      <c r="J48" s="4"/>
      <c r="K48" s="4">
        <v>209</v>
      </c>
      <c r="L48" s="4">
        <v>23</v>
      </c>
      <c r="M48" s="4">
        <v>3</v>
      </c>
      <c r="N48" s="4" t="s">
        <v>3</v>
      </c>
      <c r="O48" s="4">
        <v>0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45" x14ac:dyDescent="0.2">
      <c r="A49" s="4">
        <v>50</v>
      </c>
      <c r="B49" s="4">
        <v>0</v>
      </c>
      <c r="C49" s="4">
        <v>0</v>
      </c>
      <c r="D49" s="4">
        <v>1</v>
      </c>
      <c r="E49" s="4">
        <v>233</v>
      </c>
      <c r="F49" s="4">
        <f>ROUND(Source!BD24,O49)</f>
        <v>0</v>
      </c>
      <c r="G49" s="4" t="s">
        <v>63</v>
      </c>
      <c r="H49" s="4" t="s">
        <v>64</v>
      </c>
      <c r="I49" s="4"/>
      <c r="J49" s="4"/>
      <c r="K49" s="4">
        <v>233</v>
      </c>
      <c r="L49" s="4">
        <v>24</v>
      </c>
      <c r="M49" s="4">
        <v>3</v>
      </c>
      <c r="N49" s="4" t="s">
        <v>3</v>
      </c>
      <c r="O49" s="4">
        <v>0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45" x14ac:dyDescent="0.2">
      <c r="A50" s="4">
        <v>50</v>
      </c>
      <c r="B50" s="4">
        <v>0</v>
      </c>
      <c r="C50" s="4">
        <v>0</v>
      </c>
      <c r="D50" s="4">
        <v>1</v>
      </c>
      <c r="E50" s="4">
        <v>210</v>
      </c>
      <c r="F50" s="4">
        <f>ROUND(Source!X24,O50)</f>
        <v>0</v>
      </c>
      <c r="G50" s="4" t="s">
        <v>65</v>
      </c>
      <c r="H50" s="4" t="s">
        <v>66</v>
      </c>
      <c r="I50" s="4"/>
      <c r="J50" s="4"/>
      <c r="K50" s="4">
        <v>210</v>
      </c>
      <c r="L50" s="4">
        <v>25</v>
      </c>
      <c r="M50" s="4">
        <v>3</v>
      </c>
      <c r="N50" s="4" t="s">
        <v>3</v>
      </c>
      <c r="O50" s="4">
        <v>0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45" x14ac:dyDescent="0.2">
      <c r="A51" s="4">
        <v>50</v>
      </c>
      <c r="B51" s="4">
        <v>0</v>
      </c>
      <c r="C51" s="4">
        <v>0</v>
      </c>
      <c r="D51" s="4">
        <v>1</v>
      </c>
      <c r="E51" s="4">
        <v>211</v>
      </c>
      <c r="F51" s="4">
        <f>ROUND(Source!Y24,O51)</f>
        <v>0</v>
      </c>
      <c r="G51" s="4" t="s">
        <v>67</v>
      </c>
      <c r="H51" s="4" t="s">
        <v>68</v>
      </c>
      <c r="I51" s="4"/>
      <c r="J51" s="4"/>
      <c r="K51" s="4">
        <v>211</v>
      </c>
      <c r="L51" s="4">
        <v>26</v>
      </c>
      <c r="M51" s="4">
        <v>3</v>
      </c>
      <c r="N51" s="4" t="s">
        <v>3</v>
      </c>
      <c r="O51" s="4">
        <v>0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45" x14ac:dyDescent="0.2">
      <c r="A52" s="4">
        <v>50</v>
      </c>
      <c r="B52" s="4">
        <v>0</v>
      </c>
      <c r="C52" s="4">
        <v>0</v>
      </c>
      <c r="D52" s="4">
        <v>1</v>
      </c>
      <c r="E52" s="4">
        <v>224</v>
      </c>
      <c r="F52" s="4">
        <f>ROUND(Source!AR24,O52)</f>
        <v>0</v>
      </c>
      <c r="G52" s="4" t="s">
        <v>69</v>
      </c>
      <c r="H52" s="4" t="s">
        <v>70</v>
      </c>
      <c r="I52" s="4"/>
      <c r="J52" s="4"/>
      <c r="K52" s="4">
        <v>224</v>
      </c>
      <c r="L52" s="4">
        <v>27</v>
      </c>
      <c r="M52" s="4">
        <v>3</v>
      </c>
      <c r="N52" s="4" t="s">
        <v>3</v>
      </c>
      <c r="O52" s="4">
        <v>0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4" spans="1:245" x14ac:dyDescent="0.2">
      <c r="A54" s="1">
        <v>3</v>
      </c>
      <c r="B54" s="1">
        <v>1</v>
      </c>
      <c r="C54" s="1"/>
      <c r="D54" s="1">
        <f>ROW(A243)</f>
        <v>243</v>
      </c>
      <c r="E54" s="1"/>
      <c r="F54" s="1" t="s">
        <v>16</v>
      </c>
      <c r="G54" s="1" t="s">
        <v>71</v>
      </c>
      <c r="H54" s="1" t="s">
        <v>3</v>
      </c>
      <c r="I54" s="1">
        <v>0</v>
      </c>
      <c r="J54" s="1" t="s">
        <v>3</v>
      </c>
      <c r="K54" s="1">
        <v>-1</v>
      </c>
      <c r="L54" s="1" t="s">
        <v>16</v>
      </c>
      <c r="M54" s="1" t="s">
        <v>3</v>
      </c>
      <c r="N54" s="1"/>
      <c r="O54" s="1"/>
      <c r="P54" s="1"/>
      <c r="Q54" s="1"/>
      <c r="R54" s="1"/>
      <c r="S54" s="1">
        <v>0</v>
      </c>
      <c r="T54" s="1"/>
      <c r="U54" s="1" t="s">
        <v>3</v>
      </c>
      <c r="V54" s="1">
        <v>0</v>
      </c>
      <c r="W54" s="1"/>
      <c r="X54" s="1"/>
      <c r="Y54" s="1"/>
      <c r="Z54" s="1"/>
      <c r="AA54" s="1"/>
      <c r="AB54" s="1" t="s">
        <v>3</v>
      </c>
      <c r="AC54" s="1" t="s">
        <v>3</v>
      </c>
      <c r="AD54" s="1" t="s">
        <v>3</v>
      </c>
      <c r="AE54" s="1" t="s">
        <v>3</v>
      </c>
      <c r="AF54" s="1" t="s">
        <v>3</v>
      </c>
      <c r="AG54" s="1" t="s">
        <v>3</v>
      </c>
      <c r="AH54" s="1"/>
      <c r="AI54" s="1"/>
      <c r="AJ54" s="1"/>
      <c r="AK54" s="1"/>
      <c r="AL54" s="1"/>
      <c r="AM54" s="1"/>
      <c r="AN54" s="1"/>
      <c r="AO54" s="1"/>
      <c r="AP54" s="1" t="s">
        <v>3</v>
      </c>
      <c r="AQ54" s="1" t="s">
        <v>3</v>
      </c>
      <c r="AR54" s="1" t="s">
        <v>3</v>
      </c>
      <c r="AS54" s="1"/>
      <c r="AT54" s="1"/>
      <c r="AU54" s="1"/>
      <c r="AV54" s="1"/>
      <c r="AW54" s="1"/>
      <c r="AX54" s="1"/>
      <c r="AY54" s="1"/>
      <c r="AZ54" s="1" t="s">
        <v>3</v>
      </c>
      <c r="BA54" s="1"/>
      <c r="BB54" s="1" t="s">
        <v>3</v>
      </c>
      <c r="BC54" s="1" t="s">
        <v>3</v>
      </c>
      <c r="BD54" s="1" t="s">
        <v>3</v>
      </c>
      <c r="BE54" s="1" t="s">
        <v>3</v>
      </c>
      <c r="BF54" s="1" t="s">
        <v>3</v>
      </c>
      <c r="BG54" s="1" t="s">
        <v>3</v>
      </c>
      <c r="BH54" s="1" t="s">
        <v>3</v>
      </c>
      <c r="BI54" s="1" t="s">
        <v>3</v>
      </c>
      <c r="BJ54" s="1" t="s">
        <v>3</v>
      </c>
      <c r="BK54" s="1" t="s">
        <v>3</v>
      </c>
      <c r="BL54" s="1" t="s">
        <v>3</v>
      </c>
      <c r="BM54" s="1" t="s">
        <v>3</v>
      </c>
      <c r="BN54" s="1" t="s">
        <v>3</v>
      </c>
      <c r="BO54" s="1" t="s">
        <v>3</v>
      </c>
      <c r="BP54" s="1" t="s">
        <v>3</v>
      </c>
      <c r="BQ54" s="1"/>
      <c r="BR54" s="1"/>
      <c r="BS54" s="1"/>
      <c r="BT54" s="1"/>
      <c r="BU54" s="1"/>
      <c r="BV54" s="1"/>
      <c r="BW54" s="1"/>
      <c r="BX54" s="1">
        <v>0</v>
      </c>
      <c r="BY54" s="1"/>
      <c r="BZ54" s="1"/>
      <c r="CA54" s="1"/>
      <c r="CB54" s="1"/>
      <c r="CC54" s="1"/>
      <c r="CD54" s="1"/>
      <c r="CE54" s="1"/>
      <c r="CF54" s="1">
        <v>0</v>
      </c>
      <c r="CG54" s="1">
        <v>0</v>
      </c>
      <c r="CH54" s="1"/>
      <c r="CI54" s="1" t="s">
        <v>3</v>
      </c>
      <c r="CJ54" s="1" t="s">
        <v>3</v>
      </c>
      <c r="CK54" t="s">
        <v>3</v>
      </c>
      <c r="CL54" t="s">
        <v>3</v>
      </c>
      <c r="CM54" t="s">
        <v>3</v>
      </c>
      <c r="CN54" t="s">
        <v>3</v>
      </c>
      <c r="CO54" t="s">
        <v>3</v>
      </c>
      <c r="CP54" t="s">
        <v>3</v>
      </c>
      <c r="CQ54" t="s">
        <v>3</v>
      </c>
    </row>
    <row r="56" spans="1:245" x14ac:dyDescent="0.2">
      <c r="A56" s="2">
        <v>52</v>
      </c>
      <c r="B56" s="2">
        <f t="shared" ref="B56:G56" si="16">B243</f>
        <v>1</v>
      </c>
      <c r="C56" s="2">
        <f t="shared" si="16"/>
        <v>3</v>
      </c>
      <c r="D56" s="2">
        <f t="shared" si="16"/>
        <v>54</v>
      </c>
      <c r="E56" s="2">
        <f t="shared" si="16"/>
        <v>0</v>
      </c>
      <c r="F56" s="2" t="str">
        <f t="shared" si="16"/>
        <v>Новая локальная смета</v>
      </c>
      <c r="G56" s="2" t="str">
        <f t="shared" si="16"/>
        <v>Реконструкция ВЛ-0,4 кВ от ТП-83 по адресу: г. Москва, п. Киевский, ул. 1-ой Дистанции Пути. (инв.№)</v>
      </c>
      <c r="H56" s="2"/>
      <c r="I56" s="2"/>
      <c r="J56" s="2"/>
      <c r="K56" s="2"/>
      <c r="L56" s="2"/>
      <c r="M56" s="2"/>
      <c r="N56" s="2"/>
      <c r="O56" s="2">
        <f t="shared" ref="O56:AT56" si="17">O243</f>
        <v>1453670.6</v>
      </c>
      <c r="P56" s="2">
        <f t="shared" si="17"/>
        <v>819271.41</v>
      </c>
      <c r="Q56" s="2">
        <f t="shared" si="17"/>
        <v>212378.67</v>
      </c>
      <c r="R56" s="2">
        <f t="shared" si="17"/>
        <v>91422.9</v>
      </c>
      <c r="S56" s="2">
        <f t="shared" si="17"/>
        <v>330597.62</v>
      </c>
      <c r="T56" s="2">
        <f t="shared" si="17"/>
        <v>0</v>
      </c>
      <c r="U56" s="2">
        <f t="shared" si="17"/>
        <v>683.62939999999992</v>
      </c>
      <c r="V56" s="2">
        <f t="shared" si="17"/>
        <v>167.55665999999999</v>
      </c>
      <c r="W56" s="2">
        <f t="shared" si="17"/>
        <v>0</v>
      </c>
      <c r="X56" s="2">
        <f t="shared" si="17"/>
        <v>413381.56</v>
      </c>
      <c r="Y56" s="2">
        <f t="shared" si="17"/>
        <v>231554.62</v>
      </c>
      <c r="Z56" s="2">
        <f t="shared" si="17"/>
        <v>0</v>
      </c>
      <c r="AA56" s="2">
        <f t="shared" si="17"/>
        <v>0</v>
      </c>
      <c r="AB56" s="2">
        <f t="shared" si="17"/>
        <v>0</v>
      </c>
      <c r="AC56" s="2">
        <f t="shared" si="17"/>
        <v>0</v>
      </c>
      <c r="AD56" s="2">
        <f t="shared" si="17"/>
        <v>0</v>
      </c>
      <c r="AE56" s="2">
        <f t="shared" si="17"/>
        <v>0</v>
      </c>
      <c r="AF56" s="2">
        <f t="shared" si="17"/>
        <v>0</v>
      </c>
      <c r="AG56" s="2">
        <f t="shared" si="17"/>
        <v>0</v>
      </c>
      <c r="AH56" s="2">
        <f t="shared" si="17"/>
        <v>0</v>
      </c>
      <c r="AI56" s="2">
        <f t="shared" si="17"/>
        <v>0</v>
      </c>
      <c r="AJ56" s="2">
        <f t="shared" si="17"/>
        <v>0</v>
      </c>
      <c r="AK56" s="2">
        <f t="shared" si="17"/>
        <v>0</v>
      </c>
      <c r="AL56" s="2">
        <f t="shared" si="17"/>
        <v>0</v>
      </c>
      <c r="AM56" s="2">
        <f t="shared" si="17"/>
        <v>0</v>
      </c>
      <c r="AN56" s="2">
        <f t="shared" si="17"/>
        <v>0</v>
      </c>
      <c r="AO56" s="2">
        <f t="shared" si="17"/>
        <v>17632.439999999999</v>
      </c>
      <c r="AP56" s="2">
        <f t="shared" si="17"/>
        <v>0</v>
      </c>
      <c r="AQ56" s="2">
        <f t="shared" si="17"/>
        <v>0</v>
      </c>
      <c r="AR56" s="2">
        <f t="shared" si="17"/>
        <v>2098606.7799999998</v>
      </c>
      <c r="AS56" s="2">
        <f t="shared" si="17"/>
        <v>1268468.45</v>
      </c>
      <c r="AT56" s="2">
        <f t="shared" si="17"/>
        <v>719304.36</v>
      </c>
      <c r="AU56" s="2">
        <f t="shared" ref="AU56:BZ56" si="18">AU243</f>
        <v>110833.97</v>
      </c>
      <c r="AV56" s="2">
        <f t="shared" si="18"/>
        <v>801638.97</v>
      </c>
      <c r="AW56" s="2">
        <f t="shared" si="18"/>
        <v>819271.41</v>
      </c>
      <c r="AX56" s="2">
        <f t="shared" si="18"/>
        <v>17632.439999999999</v>
      </c>
      <c r="AY56" s="2">
        <f t="shared" si="18"/>
        <v>801638.97</v>
      </c>
      <c r="AZ56" s="2">
        <f t="shared" si="18"/>
        <v>0</v>
      </c>
      <c r="BA56" s="2">
        <f t="shared" si="18"/>
        <v>0</v>
      </c>
      <c r="BB56" s="2">
        <f t="shared" si="18"/>
        <v>0</v>
      </c>
      <c r="BC56" s="2">
        <f t="shared" si="18"/>
        <v>0</v>
      </c>
      <c r="BD56" s="2">
        <f t="shared" si="18"/>
        <v>0</v>
      </c>
      <c r="BE56" s="2">
        <f t="shared" si="18"/>
        <v>0</v>
      </c>
      <c r="BF56" s="2">
        <f t="shared" si="18"/>
        <v>0</v>
      </c>
      <c r="BG56" s="2">
        <f t="shared" si="18"/>
        <v>0</v>
      </c>
      <c r="BH56" s="2">
        <f t="shared" si="18"/>
        <v>0</v>
      </c>
      <c r="BI56" s="2">
        <f t="shared" si="18"/>
        <v>0</v>
      </c>
      <c r="BJ56" s="2">
        <f t="shared" si="18"/>
        <v>0</v>
      </c>
      <c r="BK56" s="2">
        <f t="shared" si="18"/>
        <v>0</v>
      </c>
      <c r="BL56" s="2">
        <f t="shared" si="18"/>
        <v>0</v>
      </c>
      <c r="BM56" s="2">
        <f t="shared" si="18"/>
        <v>0</v>
      </c>
      <c r="BN56" s="2">
        <f t="shared" si="18"/>
        <v>0</v>
      </c>
      <c r="BO56" s="2">
        <f t="shared" si="18"/>
        <v>0</v>
      </c>
      <c r="BP56" s="2">
        <f t="shared" si="18"/>
        <v>0</v>
      </c>
      <c r="BQ56" s="2">
        <f t="shared" si="18"/>
        <v>0</v>
      </c>
      <c r="BR56" s="2">
        <f t="shared" si="18"/>
        <v>0</v>
      </c>
      <c r="BS56" s="2">
        <f t="shared" si="18"/>
        <v>0</v>
      </c>
      <c r="BT56" s="2">
        <f t="shared" si="18"/>
        <v>0</v>
      </c>
      <c r="BU56" s="2">
        <f t="shared" si="18"/>
        <v>0</v>
      </c>
      <c r="BV56" s="2">
        <f t="shared" si="18"/>
        <v>0</v>
      </c>
      <c r="BW56" s="2">
        <f t="shared" si="18"/>
        <v>0</v>
      </c>
      <c r="BX56" s="2">
        <f t="shared" si="18"/>
        <v>0</v>
      </c>
      <c r="BY56" s="2">
        <f t="shared" si="18"/>
        <v>0</v>
      </c>
      <c r="BZ56" s="2">
        <f t="shared" si="18"/>
        <v>0</v>
      </c>
      <c r="CA56" s="2">
        <f t="shared" ref="CA56:DF56" si="19">CA243</f>
        <v>0</v>
      </c>
      <c r="CB56" s="2">
        <f t="shared" si="19"/>
        <v>0</v>
      </c>
      <c r="CC56" s="2">
        <f t="shared" si="19"/>
        <v>0</v>
      </c>
      <c r="CD56" s="2">
        <f t="shared" si="19"/>
        <v>0</v>
      </c>
      <c r="CE56" s="2">
        <f t="shared" si="19"/>
        <v>0</v>
      </c>
      <c r="CF56" s="2">
        <f t="shared" si="19"/>
        <v>0</v>
      </c>
      <c r="CG56" s="2">
        <f t="shared" si="19"/>
        <v>0</v>
      </c>
      <c r="CH56" s="2">
        <f t="shared" si="19"/>
        <v>0</v>
      </c>
      <c r="CI56" s="2">
        <f t="shared" si="19"/>
        <v>0</v>
      </c>
      <c r="CJ56" s="2">
        <f t="shared" si="19"/>
        <v>0</v>
      </c>
      <c r="CK56" s="2">
        <f t="shared" si="19"/>
        <v>0</v>
      </c>
      <c r="CL56" s="2">
        <f t="shared" si="19"/>
        <v>0</v>
      </c>
      <c r="CM56" s="2">
        <f t="shared" si="19"/>
        <v>0</v>
      </c>
      <c r="CN56" s="2">
        <f t="shared" si="19"/>
        <v>0</v>
      </c>
      <c r="CO56" s="2">
        <f t="shared" si="19"/>
        <v>0</v>
      </c>
      <c r="CP56" s="2">
        <f t="shared" si="19"/>
        <v>0</v>
      </c>
      <c r="CQ56" s="2">
        <f t="shared" si="19"/>
        <v>0</v>
      </c>
      <c r="CR56" s="2">
        <f t="shared" si="19"/>
        <v>0</v>
      </c>
      <c r="CS56" s="2">
        <f t="shared" si="19"/>
        <v>0</v>
      </c>
      <c r="CT56" s="2">
        <f t="shared" si="19"/>
        <v>0</v>
      </c>
      <c r="CU56" s="2">
        <f t="shared" si="19"/>
        <v>0</v>
      </c>
      <c r="CV56" s="2">
        <f t="shared" si="19"/>
        <v>0</v>
      </c>
      <c r="CW56" s="2">
        <f t="shared" si="19"/>
        <v>0</v>
      </c>
      <c r="CX56" s="2">
        <f t="shared" si="19"/>
        <v>0</v>
      </c>
      <c r="CY56" s="2">
        <f t="shared" si="19"/>
        <v>0</v>
      </c>
      <c r="CZ56" s="2">
        <f t="shared" si="19"/>
        <v>0</v>
      </c>
      <c r="DA56" s="2">
        <f t="shared" si="19"/>
        <v>0</v>
      </c>
      <c r="DB56" s="2">
        <f t="shared" si="19"/>
        <v>0</v>
      </c>
      <c r="DC56" s="2">
        <f t="shared" si="19"/>
        <v>0</v>
      </c>
      <c r="DD56" s="2">
        <f t="shared" si="19"/>
        <v>0</v>
      </c>
      <c r="DE56" s="2">
        <f t="shared" si="19"/>
        <v>0</v>
      </c>
      <c r="DF56" s="2">
        <f t="shared" si="19"/>
        <v>0</v>
      </c>
      <c r="DG56" s="3">
        <f t="shared" ref="DG56:EL56" si="20">DG243</f>
        <v>0</v>
      </c>
      <c r="DH56" s="3">
        <f t="shared" si="20"/>
        <v>0</v>
      </c>
      <c r="DI56" s="3">
        <f t="shared" si="20"/>
        <v>0</v>
      </c>
      <c r="DJ56" s="3">
        <f t="shared" si="20"/>
        <v>0</v>
      </c>
      <c r="DK56" s="3">
        <f t="shared" si="20"/>
        <v>0</v>
      </c>
      <c r="DL56" s="3">
        <f t="shared" si="20"/>
        <v>0</v>
      </c>
      <c r="DM56" s="3">
        <f t="shared" si="20"/>
        <v>0</v>
      </c>
      <c r="DN56" s="3">
        <f t="shared" si="20"/>
        <v>0</v>
      </c>
      <c r="DO56" s="3">
        <f t="shared" si="20"/>
        <v>0</v>
      </c>
      <c r="DP56" s="3">
        <f t="shared" si="20"/>
        <v>0</v>
      </c>
      <c r="DQ56" s="3">
        <f t="shared" si="20"/>
        <v>0</v>
      </c>
      <c r="DR56" s="3">
        <f t="shared" si="20"/>
        <v>0</v>
      </c>
      <c r="DS56" s="3">
        <f t="shared" si="20"/>
        <v>0</v>
      </c>
      <c r="DT56" s="3">
        <f t="shared" si="20"/>
        <v>0</v>
      </c>
      <c r="DU56" s="3">
        <f t="shared" si="20"/>
        <v>0</v>
      </c>
      <c r="DV56" s="3">
        <f t="shared" si="20"/>
        <v>0</v>
      </c>
      <c r="DW56" s="3">
        <f t="shared" si="20"/>
        <v>0</v>
      </c>
      <c r="DX56" s="3">
        <f t="shared" si="20"/>
        <v>0</v>
      </c>
      <c r="DY56" s="3">
        <f t="shared" si="20"/>
        <v>0</v>
      </c>
      <c r="DZ56" s="3">
        <f t="shared" si="20"/>
        <v>0</v>
      </c>
      <c r="EA56" s="3">
        <f t="shared" si="20"/>
        <v>0</v>
      </c>
      <c r="EB56" s="3">
        <f t="shared" si="20"/>
        <v>0</v>
      </c>
      <c r="EC56" s="3">
        <f t="shared" si="20"/>
        <v>0</v>
      </c>
      <c r="ED56" s="3">
        <f t="shared" si="20"/>
        <v>0</v>
      </c>
      <c r="EE56" s="3">
        <f t="shared" si="20"/>
        <v>0</v>
      </c>
      <c r="EF56" s="3">
        <f t="shared" si="20"/>
        <v>0</v>
      </c>
      <c r="EG56" s="3">
        <f t="shared" si="20"/>
        <v>0</v>
      </c>
      <c r="EH56" s="3">
        <f t="shared" si="20"/>
        <v>0</v>
      </c>
      <c r="EI56" s="3">
        <f t="shared" si="20"/>
        <v>0</v>
      </c>
      <c r="EJ56" s="3">
        <f t="shared" si="20"/>
        <v>0</v>
      </c>
      <c r="EK56" s="3">
        <f t="shared" si="20"/>
        <v>0</v>
      </c>
      <c r="EL56" s="3">
        <f t="shared" si="20"/>
        <v>0</v>
      </c>
      <c r="EM56" s="3">
        <f t="shared" ref="EM56:FR56" si="21">EM243</f>
        <v>0</v>
      </c>
      <c r="EN56" s="3">
        <f t="shared" si="21"/>
        <v>0</v>
      </c>
      <c r="EO56" s="3">
        <f t="shared" si="21"/>
        <v>0</v>
      </c>
      <c r="EP56" s="3">
        <f t="shared" si="21"/>
        <v>0</v>
      </c>
      <c r="EQ56" s="3">
        <f t="shared" si="21"/>
        <v>0</v>
      </c>
      <c r="ER56" s="3">
        <f t="shared" si="21"/>
        <v>0</v>
      </c>
      <c r="ES56" s="3">
        <f t="shared" si="21"/>
        <v>0</v>
      </c>
      <c r="ET56" s="3">
        <f t="shared" si="21"/>
        <v>0</v>
      </c>
      <c r="EU56" s="3">
        <f t="shared" si="21"/>
        <v>0</v>
      </c>
      <c r="EV56" s="3">
        <f t="shared" si="21"/>
        <v>0</v>
      </c>
      <c r="EW56" s="3">
        <f t="shared" si="21"/>
        <v>0</v>
      </c>
      <c r="EX56" s="3">
        <f t="shared" si="21"/>
        <v>0</v>
      </c>
      <c r="EY56" s="3">
        <f t="shared" si="21"/>
        <v>0</v>
      </c>
      <c r="EZ56" s="3">
        <f t="shared" si="21"/>
        <v>0</v>
      </c>
      <c r="FA56" s="3">
        <f t="shared" si="21"/>
        <v>0</v>
      </c>
      <c r="FB56" s="3">
        <f t="shared" si="21"/>
        <v>0</v>
      </c>
      <c r="FC56" s="3">
        <f t="shared" si="21"/>
        <v>0</v>
      </c>
      <c r="FD56" s="3">
        <f t="shared" si="21"/>
        <v>0</v>
      </c>
      <c r="FE56" s="3">
        <f t="shared" si="21"/>
        <v>0</v>
      </c>
      <c r="FF56" s="3">
        <f t="shared" si="21"/>
        <v>0</v>
      </c>
      <c r="FG56" s="3">
        <f t="shared" si="21"/>
        <v>0</v>
      </c>
      <c r="FH56" s="3">
        <f t="shared" si="21"/>
        <v>0</v>
      </c>
      <c r="FI56" s="3">
        <f t="shared" si="21"/>
        <v>0</v>
      </c>
      <c r="FJ56" s="3">
        <f t="shared" si="21"/>
        <v>0</v>
      </c>
      <c r="FK56" s="3">
        <f t="shared" si="21"/>
        <v>0</v>
      </c>
      <c r="FL56" s="3">
        <f t="shared" si="21"/>
        <v>0</v>
      </c>
      <c r="FM56" s="3">
        <f t="shared" si="21"/>
        <v>0</v>
      </c>
      <c r="FN56" s="3">
        <f t="shared" si="21"/>
        <v>0</v>
      </c>
      <c r="FO56" s="3">
        <f t="shared" si="21"/>
        <v>0</v>
      </c>
      <c r="FP56" s="3">
        <f t="shared" si="21"/>
        <v>0</v>
      </c>
      <c r="FQ56" s="3">
        <f t="shared" si="21"/>
        <v>0</v>
      </c>
      <c r="FR56" s="3">
        <f t="shared" si="21"/>
        <v>0</v>
      </c>
      <c r="FS56" s="3">
        <f t="shared" ref="FS56:GX56" si="22">FS243</f>
        <v>0</v>
      </c>
      <c r="FT56" s="3">
        <f t="shared" si="22"/>
        <v>0</v>
      </c>
      <c r="FU56" s="3">
        <f t="shared" si="22"/>
        <v>0</v>
      </c>
      <c r="FV56" s="3">
        <f t="shared" si="22"/>
        <v>0</v>
      </c>
      <c r="FW56" s="3">
        <f t="shared" si="22"/>
        <v>0</v>
      </c>
      <c r="FX56" s="3">
        <f t="shared" si="22"/>
        <v>0</v>
      </c>
      <c r="FY56" s="3">
        <f t="shared" si="22"/>
        <v>0</v>
      </c>
      <c r="FZ56" s="3">
        <f t="shared" si="22"/>
        <v>0</v>
      </c>
      <c r="GA56" s="3">
        <f t="shared" si="22"/>
        <v>0</v>
      </c>
      <c r="GB56" s="3">
        <f t="shared" si="22"/>
        <v>0</v>
      </c>
      <c r="GC56" s="3">
        <f t="shared" si="22"/>
        <v>0</v>
      </c>
      <c r="GD56" s="3">
        <f t="shared" si="22"/>
        <v>0</v>
      </c>
      <c r="GE56" s="3">
        <f t="shared" si="22"/>
        <v>0</v>
      </c>
      <c r="GF56" s="3">
        <f t="shared" si="22"/>
        <v>0</v>
      </c>
      <c r="GG56" s="3">
        <f t="shared" si="22"/>
        <v>0</v>
      </c>
      <c r="GH56" s="3">
        <f t="shared" si="22"/>
        <v>0</v>
      </c>
      <c r="GI56" s="3">
        <f t="shared" si="22"/>
        <v>0</v>
      </c>
      <c r="GJ56" s="3">
        <f t="shared" si="22"/>
        <v>0</v>
      </c>
      <c r="GK56" s="3">
        <f t="shared" si="22"/>
        <v>0</v>
      </c>
      <c r="GL56" s="3">
        <f t="shared" si="22"/>
        <v>0</v>
      </c>
      <c r="GM56" s="3">
        <f t="shared" si="22"/>
        <v>0</v>
      </c>
      <c r="GN56" s="3">
        <f t="shared" si="22"/>
        <v>0</v>
      </c>
      <c r="GO56" s="3">
        <f t="shared" si="22"/>
        <v>0</v>
      </c>
      <c r="GP56" s="3">
        <f t="shared" si="22"/>
        <v>0</v>
      </c>
      <c r="GQ56" s="3">
        <f t="shared" si="22"/>
        <v>0</v>
      </c>
      <c r="GR56" s="3">
        <f t="shared" si="22"/>
        <v>0</v>
      </c>
      <c r="GS56" s="3">
        <f t="shared" si="22"/>
        <v>0</v>
      </c>
      <c r="GT56" s="3">
        <f t="shared" si="22"/>
        <v>0</v>
      </c>
      <c r="GU56" s="3">
        <f t="shared" si="22"/>
        <v>0</v>
      </c>
      <c r="GV56" s="3">
        <f t="shared" si="22"/>
        <v>0</v>
      </c>
      <c r="GW56" s="3">
        <f t="shared" si="22"/>
        <v>0</v>
      </c>
      <c r="GX56" s="3">
        <f t="shared" si="22"/>
        <v>0</v>
      </c>
    </row>
    <row r="58" spans="1:245" x14ac:dyDescent="0.2">
      <c r="A58" s="1">
        <v>4</v>
      </c>
      <c r="B58" s="1">
        <v>1</v>
      </c>
      <c r="C58" s="1"/>
      <c r="D58" s="1">
        <f>ROW(A74)</f>
        <v>74</v>
      </c>
      <c r="E58" s="1"/>
      <c r="F58" s="1" t="s">
        <v>72</v>
      </c>
      <c r="G58" s="1" t="s">
        <v>73</v>
      </c>
      <c r="H58" s="1" t="s">
        <v>3</v>
      </c>
      <c r="I58" s="1">
        <v>0</v>
      </c>
      <c r="J58" s="1"/>
      <c r="K58" s="1">
        <v>0</v>
      </c>
      <c r="L58" s="1"/>
      <c r="M58" s="1" t="s">
        <v>3</v>
      </c>
      <c r="N58" s="1"/>
      <c r="O58" s="1"/>
      <c r="P58" s="1"/>
      <c r="Q58" s="1"/>
      <c r="R58" s="1"/>
      <c r="S58" s="1">
        <v>0</v>
      </c>
      <c r="T58" s="1"/>
      <c r="U58" s="1" t="s">
        <v>3</v>
      </c>
      <c r="V58" s="1">
        <v>0</v>
      </c>
      <c r="W58" s="1"/>
      <c r="X58" s="1"/>
      <c r="Y58" s="1"/>
      <c r="Z58" s="1"/>
      <c r="AA58" s="1"/>
      <c r="AB58" s="1" t="s">
        <v>3</v>
      </c>
      <c r="AC58" s="1" t="s">
        <v>3</v>
      </c>
      <c r="AD58" s="1" t="s">
        <v>3</v>
      </c>
      <c r="AE58" s="1" t="s">
        <v>3</v>
      </c>
      <c r="AF58" s="1" t="s">
        <v>3</v>
      </c>
      <c r="AG58" s="1" t="s">
        <v>3</v>
      </c>
      <c r="AH58" s="1"/>
      <c r="AI58" s="1"/>
      <c r="AJ58" s="1"/>
      <c r="AK58" s="1"/>
      <c r="AL58" s="1"/>
      <c r="AM58" s="1"/>
      <c r="AN58" s="1"/>
      <c r="AO58" s="1"/>
      <c r="AP58" s="1" t="s">
        <v>3</v>
      </c>
      <c r="AQ58" s="1" t="s">
        <v>3</v>
      </c>
      <c r="AR58" s="1" t="s">
        <v>3</v>
      </c>
      <c r="AS58" s="1"/>
      <c r="AT58" s="1"/>
      <c r="AU58" s="1"/>
      <c r="AV58" s="1"/>
      <c r="AW58" s="1"/>
      <c r="AX58" s="1"/>
      <c r="AY58" s="1"/>
      <c r="AZ58" s="1" t="s">
        <v>3</v>
      </c>
      <c r="BA58" s="1"/>
      <c r="BB58" s="1" t="s">
        <v>3</v>
      </c>
      <c r="BC58" s="1" t="s">
        <v>3</v>
      </c>
      <c r="BD58" s="1" t="s">
        <v>3</v>
      </c>
      <c r="BE58" s="1" t="s">
        <v>3</v>
      </c>
      <c r="BF58" s="1" t="s">
        <v>3</v>
      </c>
      <c r="BG58" s="1" t="s">
        <v>3</v>
      </c>
      <c r="BH58" s="1" t="s">
        <v>3</v>
      </c>
      <c r="BI58" s="1" t="s">
        <v>3</v>
      </c>
      <c r="BJ58" s="1" t="s">
        <v>3</v>
      </c>
      <c r="BK58" s="1" t="s">
        <v>3</v>
      </c>
      <c r="BL58" s="1" t="s">
        <v>3</v>
      </c>
      <c r="BM58" s="1" t="s">
        <v>3</v>
      </c>
      <c r="BN58" s="1" t="s">
        <v>3</v>
      </c>
      <c r="BO58" s="1" t="s">
        <v>3</v>
      </c>
      <c r="BP58" s="1" t="s">
        <v>3</v>
      </c>
      <c r="BQ58" s="1"/>
      <c r="BR58" s="1"/>
      <c r="BS58" s="1"/>
      <c r="BT58" s="1"/>
      <c r="BU58" s="1"/>
      <c r="BV58" s="1"/>
      <c r="BW58" s="1"/>
      <c r="BX58" s="1">
        <v>0</v>
      </c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>
        <v>0</v>
      </c>
    </row>
    <row r="60" spans="1:245" x14ac:dyDescent="0.2">
      <c r="A60" s="2">
        <v>52</v>
      </c>
      <c r="B60" s="2">
        <f t="shared" ref="B60:G60" si="23">B74</f>
        <v>1</v>
      </c>
      <c r="C60" s="2">
        <f t="shared" si="23"/>
        <v>4</v>
      </c>
      <c r="D60" s="2">
        <f t="shared" si="23"/>
        <v>58</v>
      </c>
      <c r="E60" s="2">
        <f t="shared" si="23"/>
        <v>0</v>
      </c>
      <c r="F60" s="2" t="str">
        <f t="shared" si="23"/>
        <v>Новый раздел</v>
      </c>
      <c r="G60" s="2" t="str">
        <f t="shared" si="23"/>
        <v>Демонтажные работы</v>
      </c>
      <c r="H60" s="2"/>
      <c r="I60" s="2"/>
      <c r="J60" s="2"/>
      <c r="K60" s="2"/>
      <c r="L60" s="2"/>
      <c r="M60" s="2"/>
      <c r="N60" s="2"/>
      <c r="O60" s="2">
        <f t="shared" ref="O60:AT60" si="24">O74</f>
        <v>175283.7</v>
      </c>
      <c r="P60" s="2">
        <f t="shared" si="24"/>
        <v>0</v>
      </c>
      <c r="Q60" s="2">
        <f t="shared" si="24"/>
        <v>65079.06</v>
      </c>
      <c r="R60" s="2">
        <f t="shared" si="24"/>
        <v>32653.73</v>
      </c>
      <c r="S60" s="2">
        <f t="shared" si="24"/>
        <v>77550.91</v>
      </c>
      <c r="T60" s="2">
        <f t="shared" si="24"/>
        <v>0</v>
      </c>
      <c r="U60" s="2">
        <f t="shared" si="24"/>
        <v>175.2122</v>
      </c>
      <c r="V60" s="2">
        <f t="shared" si="24"/>
        <v>60.27796</v>
      </c>
      <c r="W60" s="2">
        <f t="shared" si="24"/>
        <v>0</v>
      </c>
      <c r="X60" s="2">
        <f t="shared" si="24"/>
        <v>112140.24</v>
      </c>
      <c r="Y60" s="2">
        <f t="shared" si="24"/>
        <v>64066.97</v>
      </c>
      <c r="Z60" s="2">
        <f t="shared" si="24"/>
        <v>0</v>
      </c>
      <c r="AA60" s="2">
        <f t="shared" si="24"/>
        <v>0</v>
      </c>
      <c r="AB60" s="2">
        <f t="shared" si="24"/>
        <v>175283.7</v>
      </c>
      <c r="AC60" s="2">
        <f t="shared" si="24"/>
        <v>0</v>
      </c>
      <c r="AD60" s="2">
        <f t="shared" si="24"/>
        <v>65079.06</v>
      </c>
      <c r="AE60" s="2">
        <f t="shared" si="24"/>
        <v>32653.73</v>
      </c>
      <c r="AF60" s="2">
        <f t="shared" si="24"/>
        <v>77550.91</v>
      </c>
      <c r="AG60" s="2">
        <f t="shared" si="24"/>
        <v>0</v>
      </c>
      <c r="AH60" s="2">
        <f t="shared" si="24"/>
        <v>175.2122</v>
      </c>
      <c r="AI60" s="2">
        <f t="shared" si="24"/>
        <v>60.27796</v>
      </c>
      <c r="AJ60" s="2">
        <f t="shared" si="24"/>
        <v>0</v>
      </c>
      <c r="AK60" s="2">
        <f t="shared" si="24"/>
        <v>112140.24</v>
      </c>
      <c r="AL60" s="2">
        <f t="shared" si="24"/>
        <v>64066.97</v>
      </c>
      <c r="AM60" s="2">
        <f t="shared" si="24"/>
        <v>0</v>
      </c>
      <c r="AN60" s="2">
        <f t="shared" si="24"/>
        <v>0</v>
      </c>
      <c r="AO60" s="2">
        <f t="shared" si="24"/>
        <v>0</v>
      </c>
      <c r="AP60" s="2">
        <f t="shared" si="24"/>
        <v>0</v>
      </c>
      <c r="AQ60" s="2">
        <f t="shared" si="24"/>
        <v>0</v>
      </c>
      <c r="AR60" s="2">
        <f t="shared" si="24"/>
        <v>351490.91</v>
      </c>
      <c r="AS60" s="2">
        <f t="shared" si="24"/>
        <v>286994.03999999998</v>
      </c>
      <c r="AT60" s="2">
        <f t="shared" si="24"/>
        <v>64496.87</v>
      </c>
      <c r="AU60" s="2">
        <f t="shared" ref="AU60:BZ60" si="25">AU74</f>
        <v>0</v>
      </c>
      <c r="AV60" s="2">
        <f t="shared" si="25"/>
        <v>0</v>
      </c>
      <c r="AW60" s="2">
        <f t="shared" si="25"/>
        <v>0</v>
      </c>
      <c r="AX60" s="2">
        <f t="shared" si="25"/>
        <v>0</v>
      </c>
      <c r="AY60" s="2">
        <f t="shared" si="25"/>
        <v>0</v>
      </c>
      <c r="AZ60" s="2">
        <f t="shared" si="25"/>
        <v>0</v>
      </c>
      <c r="BA60" s="2">
        <f t="shared" si="25"/>
        <v>0</v>
      </c>
      <c r="BB60" s="2">
        <f t="shared" si="25"/>
        <v>0</v>
      </c>
      <c r="BC60" s="2">
        <f t="shared" si="25"/>
        <v>0</v>
      </c>
      <c r="BD60" s="2">
        <f t="shared" si="25"/>
        <v>0</v>
      </c>
      <c r="BE60" s="2">
        <f t="shared" si="25"/>
        <v>0</v>
      </c>
      <c r="BF60" s="2">
        <f t="shared" si="25"/>
        <v>0</v>
      </c>
      <c r="BG60" s="2">
        <f t="shared" si="25"/>
        <v>0</v>
      </c>
      <c r="BH60" s="2">
        <f t="shared" si="25"/>
        <v>0</v>
      </c>
      <c r="BI60" s="2">
        <f t="shared" si="25"/>
        <v>0</v>
      </c>
      <c r="BJ60" s="2">
        <f t="shared" si="25"/>
        <v>0</v>
      </c>
      <c r="BK60" s="2">
        <f t="shared" si="25"/>
        <v>0</v>
      </c>
      <c r="BL60" s="2">
        <f t="shared" si="25"/>
        <v>0</v>
      </c>
      <c r="BM60" s="2">
        <f t="shared" si="25"/>
        <v>0</v>
      </c>
      <c r="BN60" s="2">
        <f t="shared" si="25"/>
        <v>0</v>
      </c>
      <c r="BO60" s="2">
        <f t="shared" si="25"/>
        <v>0</v>
      </c>
      <c r="BP60" s="2">
        <f t="shared" si="25"/>
        <v>0</v>
      </c>
      <c r="BQ60" s="2">
        <f t="shared" si="25"/>
        <v>0</v>
      </c>
      <c r="BR60" s="2">
        <f t="shared" si="25"/>
        <v>0</v>
      </c>
      <c r="BS60" s="2">
        <f t="shared" si="25"/>
        <v>0</v>
      </c>
      <c r="BT60" s="2">
        <f t="shared" si="25"/>
        <v>0</v>
      </c>
      <c r="BU60" s="2">
        <f t="shared" si="25"/>
        <v>0</v>
      </c>
      <c r="BV60" s="2">
        <f t="shared" si="25"/>
        <v>0</v>
      </c>
      <c r="BW60" s="2">
        <f t="shared" si="25"/>
        <v>0</v>
      </c>
      <c r="BX60" s="2">
        <f t="shared" si="25"/>
        <v>0</v>
      </c>
      <c r="BY60" s="2">
        <f t="shared" si="25"/>
        <v>0</v>
      </c>
      <c r="BZ60" s="2">
        <f t="shared" si="25"/>
        <v>0</v>
      </c>
      <c r="CA60" s="2">
        <f t="shared" ref="CA60:DF60" si="26">CA74</f>
        <v>351490.91</v>
      </c>
      <c r="CB60" s="2">
        <f t="shared" si="26"/>
        <v>286994.03999999998</v>
      </c>
      <c r="CC60" s="2">
        <f t="shared" si="26"/>
        <v>64496.87</v>
      </c>
      <c r="CD60" s="2">
        <f t="shared" si="26"/>
        <v>0</v>
      </c>
      <c r="CE60" s="2">
        <f t="shared" si="26"/>
        <v>0</v>
      </c>
      <c r="CF60" s="2">
        <f t="shared" si="26"/>
        <v>0</v>
      </c>
      <c r="CG60" s="2">
        <f t="shared" si="26"/>
        <v>0</v>
      </c>
      <c r="CH60" s="2">
        <f t="shared" si="26"/>
        <v>0</v>
      </c>
      <c r="CI60" s="2">
        <f t="shared" si="26"/>
        <v>0</v>
      </c>
      <c r="CJ60" s="2">
        <f t="shared" si="26"/>
        <v>0</v>
      </c>
      <c r="CK60" s="2">
        <f t="shared" si="26"/>
        <v>0</v>
      </c>
      <c r="CL60" s="2">
        <f t="shared" si="26"/>
        <v>0</v>
      </c>
      <c r="CM60" s="2">
        <f t="shared" si="26"/>
        <v>0</v>
      </c>
      <c r="CN60" s="2">
        <f t="shared" si="26"/>
        <v>0</v>
      </c>
      <c r="CO60" s="2">
        <f t="shared" si="26"/>
        <v>0</v>
      </c>
      <c r="CP60" s="2">
        <f t="shared" si="26"/>
        <v>0</v>
      </c>
      <c r="CQ60" s="2">
        <f t="shared" si="26"/>
        <v>0</v>
      </c>
      <c r="CR60" s="2">
        <f t="shared" si="26"/>
        <v>0</v>
      </c>
      <c r="CS60" s="2">
        <f t="shared" si="26"/>
        <v>0</v>
      </c>
      <c r="CT60" s="2">
        <f t="shared" si="26"/>
        <v>0</v>
      </c>
      <c r="CU60" s="2">
        <f t="shared" si="26"/>
        <v>0</v>
      </c>
      <c r="CV60" s="2">
        <f t="shared" si="26"/>
        <v>0</v>
      </c>
      <c r="CW60" s="2">
        <f t="shared" si="26"/>
        <v>0</v>
      </c>
      <c r="CX60" s="2">
        <f t="shared" si="26"/>
        <v>0</v>
      </c>
      <c r="CY60" s="2">
        <f t="shared" si="26"/>
        <v>0</v>
      </c>
      <c r="CZ60" s="2">
        <f t="shared" si="26"/>
        <v>0</v>
      </c>
      <c r="DA60" s="2">
        <f t="shared" si="26"/>
        <v>0</v>
      </c>
      <c r="DB60" s="2">
        <f t="shared" si="26"/>
        <v>0</v>
      </c>
      <c r="DC60" s="2">
        <f t="shared" si="26"/>
        <v>0</v>
      </c>
      <c r="DD60" s="2">
        <f t="shared" si="26"/>
        <v>0</v>
      </c>
      <c r="DE60" s="2">
        <f t="shared" si="26"/>
        <v>0</v>
      </c>
      <c r="DF60" s="2">
        <f t="shared" si="26"/>
        <v>0</v>
      </c>
      <c r="DG60" s="3">
        <f t="shared" ref="DG60:EL60" si="27">DG74</f>
        <v>0</v>
      </c>
      <c r="DH60" s="3">
        <f t="shared" si="27"/>
        <v>0</v>
      </c>
      <c r="DI60" s="3">
        <f t="shared" si="27"/>
        <v>0</v>
      </c>
      <c r="DJ60" s="3">
        <f t="shared" si="27"/>
        <v>0</v>
      </c>
      <c r="DK60" s="3">
        <f t="shared" si="27"/>
        <v>0</v>
      </c>
      <c r="DL60" s="3">
        <f t="shared" si="27"/>
        <v>0</v>
      </c>
      <c r="DM60" s="3">
        <f t="shared" si="27"/>
        <v>0</v>
      </c>
      <c r="DN60" s="3">
        <f t="shared" si="27"/>
        <v>0</v>
      </c>
      <c r="DO60" s="3">
        <f t="shared" si="27"/>
        <v>0</v>
      </c>
      <c r="DP60" s="3">
        <f t="shared" si="27"/>
        <v>0</v>
      </c>
      <c r="DQ60" s="3">
        <f t="shared" si="27"/>
        <v>0</v>
      </c>
      <c r="DR60" s="3">
        <f t="shared" si="27"/>
        <v>0</v>
      </c>
      <c r="DS60" s="3">
        <f t="shared" si="27"/>
        <v>0</v>
      </c>
      <c r="DT60" s="3">
        <f t="shared" si="27"/>
        <v>0</v>
      </c>
      <c r="DU60" s="3">
        <f t="shared" si="27"/>
        <v>0</v>
      </c>
      <c r="DV60" s="3">
        <f t="shared" si="27"/>
        <v>0</v>
      </c>
      <c r="DW60" s="3">
        <f t="shared" si="27"/>
        <v>0</v>
      </c>
      <c r="DX60" s="3">
        <f t="shared" si="27"/>
        <v>0</v>
      </c>
      <c r="DY60" s="3">
        <f t="shared" si="27"/>
        <v>0</v>
      </c>
      <c r="DZ60" s="3">
        <f t="shared" si="27"/>
        <v>0</v>
      </c>
      <c r="EA60" s="3">
        <f t="shared" si="27"/>
        <v>0</v>
      </c>
      <c r="EB60" s="3">
        <f t="shared" si="27"/>
        <v>0</v>
      </c>
      <c r="EC60" s="3">
        <f t="shared" si="27"/>
        <v>0</v>
      </c>
      <c r="ED60" s="3">
        <f t="shared" si="27"/>
        <v>0</v>
      </c>
      <c r="EE60" s="3">
        <f t="shared" si="27"/>
        <v>0</v>
      </c>
      <c r="EF60" s="3">
        <f t="shared" si="27"/>
        <v>0</v>
      </c>
      <c r="EG60" s="3">
        <f t="shared" si="27"/>
        <v>0</v>
      </c>
      <c r="EH60" s="3">
        <f t="shared" si="27"/>
        <v>0</v>
      </c>
      <c r="EI60" s="3">
        <f t="shared" si="27"/>
        <v>0</v>
      </c>
      <c r="EJ60" s="3">
        <f t="shared" si="27"/>
        <v>0</v>
      </c>
      <c r="EK60" s="3">
        <f t="shared" si="27"/>
        <v>0</v>
      </c>
      <c r="EL60" s="3">
        <f t="shared" si="27"/>
        <v>0</v>
      </c>
      <c r="EM60" s="3">
        <f t="shared" ref="EM60:FR60" si="28">EM74</f>
        <v>0</v>
      </c>
      <c r="EN60" s="3">
        <f t="shared" si="28"/>
        <v>0</v>
      </c>
      <c r="EO60" s="3">
        <f t="shared" si="28"/>
        <v>0</v>
      </c>
      <c r="EP60" s="3">
        <f t="shared" si="28"/>
        <v>0</v>
      </c>
      <c r="EQ60" s="3">
        <f t="shared" si="28"/>
        <v>0</v>
      </c>
      <c r="ER60" s="3">
        <f t="shared" si="28"/>
        <v>0</v>
      </c>
      <c r="ES60" s="3">
        <f t="shared" si="28"/>
        <v>0</v>
      </c>
      <c r="ET60" s="3">
        <f t="shared" si="28"/>
        <v>0</v>
      </c>
      <c r="EU60" s="3">
        <f t="shared" si="28"/>
        <v>0</v>
      </c>
      <c r="EV60" s="3">
        <f t="shared" si="28"/>
        <v>0</v>
      </c>
      <c r="EW60" s="3">
        <f t="shared" si="28"/>
        <v>0</v>
      </c>
      <c r="EX60" s="3">
        <f t="shared" si="28"/>
        <v>0</v>
      </c>
      <c r="EY60" s="3">
        <f t="shared" si="28"/>
        <v>0</v>
      </c>
      <c r="EZ60" s="3">
        <f t="shared" si="28"/>
        <v>0</v>
      </c>
      <c r="FA60" s="3">
        <f t="shared" si="28"/>
        <v>0</v>
      </c>
      <c r="FB60" s="3">
        <f t="shared" si="28"/>
        <v>0</v>
      </c>
      <c r="FC60" s="3">
        <f t="shared" si="28"/>
        <v>0</v>
      </c>
      <c r="FD60" s="3">
        <f t="shared" si="28"/>
        <v>0</v>
      </c>
      <c r="FE60" s="3">
        <f t="shared" si="28"/>
        <v>0</v>
      </c>
      <c r="FF60" s="3">
        <f t="shared" si="28"/>
        <v>0</v>
      </c>
      <c r="FG60" s="3">
        <f t="shared" si="28"/>
        <v>0</v>
      </c>
      <c r="FH60" s="3">
        <f t="shared" si="28"/>
        <v>0</v>
      </c>
      <c r="FI60" s="3">
        <f t="shared" si="28"/>
        <v>0</v>
      </c>
      <c r="FJ60" s="3">
        <f t="shared" si="28"/>
        <v>0</v>
      </c>
      <c r="FK60" s="3">
        <f t="shared" si="28"/>
        <v>0</v>
      </c>
      <c r="FL60" s="3">
        <f t="shared" si="28"/>
        <v>0</v>
      </c>
      <c r="FM60" s="3">
        <f t="shared" si="28"/>
        <v>0</v>
      </c>
      <c r="FN60" s="3">
        <f t="shared" si="28"/>
        <v>0</v>
      </c>
      <c r="FO60" s="3">
        <f t="shared" si="28"/>
        <v>0</v>
      </c>
      <c r="FP60" s="3">
        <f t="shared" si="28"/>
        <v>0</v>
      </c>
      <c r="FQ60" s="3">
        <f t="shared" si="28"/>
        <v>0</v>
      </c>
      <c r="FR60" s="3">
        <f t="shared" si="28"/>
        <v>0</v>
      </c>
      <c r="FS60" s="3">
        <f t="shared" ref="FS60:GX60" si="29">FS74</f>
        <v>0</v>
      </c>
      <c r="FT60" s="3">
        <f t="shared" si="29"/>
        <v>0</v>
      </c>
      <c r="FU60" s="3">
        <f t="shared" si="29"/>
        <v>0</v>
      </c>
      <c r="FV60" s="3">
        <f t="shared" si="29"/>
        <v>0</v>
      </c>
      <c r="FW60" s="3">
        <f t="shared" si="29"/>
        <v>0</v>
      </c>
      <c r="FX60" s="3">
        <f t="shared" si="29"/>
        <v>0</v>
      </c>
      <c r="FY60" s="3">
        <f t="shared" si="29"/>
        <v>0</v>
      </c>
      <c r="FZ60" s="3">
        <f t="shared" si="29"/>
        <v>0</v>
      </c>
      <c r="GA60" s="3">
        <f t="shared" si="29"/>
        <v>0</v>
      </c>
      <c r="GB60" s="3">
        <f t="shared" si="29"/>
        <v>0</v>
      </c>
      <c r="GC60" s="3">
        <f t="shared" si="29"/>
        <v>0</v>
      </c>
      <c r="GD60" s="3">
        <f t="shared" si="29"/>
        <v>0</v>
      </c>
      <c r="GE60" s="3">
        <f t="shared" si="29"/>
        <v>0</v>
      </c>
      <c r="GF60" s="3">
        <f t="shared" si="29"/>
        <v>0</v>
      </c>
      <c r="GG60" s="3">
        <f t="shared" si="29"/>
        <v>0</v>
      </c>
      <c r="GH60" s="3">
        <f t="shared" si="29"/>
        <v>0</v>
      </c>
      <c r="GI60" s="3">
        <f t="shared" si="29"/>
        <v>0</v>
      </c>
      <c r="GJ60" s="3">
        <f t="shared" si="29"/>
        <v>0</v>
      </c>
      <c r="GK60" s="3">
        <f t="shared" si="29"/>
        <v>0</v>
      </c>
      <c r="GL60" s="3">
        <f t="shared" si="29"/>
        <v>0</v>
      </c>
      <c r="GM60" s="3">
        <f t="shared" si="29"/>
        <v>0</v>
      </c>
      <c r="GN60" s="3">
        <f t="shared" si="29"/>
        <v>0</v>
      </c>
      <c r="GO60" s="3">
        <f t="shared" si="29"/>
        <v>0</v>
      </c>
      <c r="GP60" s="3">
        <f t="shared" si="29"/>
        <v>0</v>
      </c>
      <c r="GQ60" s="3">
        <f t="shared" si="29"/>
        <v>0</v>
      </c>
      <c r="GR60" s="3">
        <f t="shared" si="29"/>
        <v>0</v>
      </c>
      <c r="GS60" s="3">
        <f t="shared" si="29"/>
        <v>0</v>
      </c>
      <c r="GT60" s="3">
        <f t="shared" si="29"/>
        <v>0</v>
      </c>
      <c r="GU60" s="3">
        <f t="shared" si="29"/>
        <v>0</v>
      </c>
      <c r="GV60" s="3">
        <f t="shared" si="29"/>
        <v>0</v>
      </c>
      <c r="GW60" s="3">
        <f t="shared" si="29"/>
        <v>0</v>
      </c>
      <c r="GX60" s="3">
        <f t="shared" si="29"/>
        <v>0</v>
      </c>
    </row>
    <row r="62" spans="1:245" x14ac:dyDescent="0.2">
      <c r="A62">
        <v>17</v>
      </c>
      <c r="B62">
        <v>1</v>
      </c>
      <c r="C62">
        <f>ROW(SmtRes!A4)</f>
        <v>4</v>
      </c>
      <c r="D62">
        <f>ROW(EtalonRes!A4)</f>
        <v>4</v>
      </c>
      <c r="E62" t="s">
        <v>74</v>
      </c>
      <c r="F62" t="s">
        <v>75</v>
      </c>
      <c r="G62" t="s">
        <v>76</v>
      </c>
      <c r="H62" t="s">
        <v>77</v>
      </c>
      <c r="I62">
        <v>32</v>
      </c>
      <c r="J62">
        <v>0</v>
      </c>
      <c r="K62">
        <v>32</v>
      </c>
      <c r="O62">
        <f t="shared" ref="O62:O72" si="30">ROUND(CP62,2)</f>
        <v>48964.5</v>
      </c>
      <c r="P62">
        <f>SUMIF(SmtRes!AQ1:'SmtRes'!AQ4,"=1",SmtRes!DF1:'SmtRes'!DF4)</f>
        <v>0</v>
      </c>
      <c r="Q62">
        <f>SUMIF(SmtRes!AQ1:'SmtRes'!AQ4,"=1",SmtRes!DG1:'SmtRes'!DG4)</f>
        <v>28395.57</v>
      </c>
      <c r="R62">
        <f>SUMIF(SmtRes!AQ1:'SmtRes'!AQ4,"=1",SmtRes!DH1:'SmtRes'!DH4)</f>
        <v>8565.64</v>
      </c>
      <c r="S62">
        <f>SUMIF(SmtRes!AQ1:'SmtRes'!AQ4,"=1",SmtRes!DI1:'SmtRes'!DI4)</f>
        <v>12003.29</v>
      </c>
      <c r="T62">
        <f t="shared" ref="T62:T72" si="31">ROUND(CU62*I62,2)</f>
        <v>0</v>
      </c>
      <c r="U62">
        <f>SUMIF(SmtRes!AQ1:'SmtRes'!AQ4,"=1",SmtRes!CV1:'SmtRes'!CV4)</f>
        <v>25.92</v>
      </c>
      <c r="V62">
        <f>SUMIF(SmtRes!AQ1:'SmtRes'!AQ4,"=1",SmtRes!CW1:'SmtRes'!CW4)</f>
        <v>15.36</v>
      </c>
      <c r="W62">
        <f t="shared" ref="W62:W72" si="32">ROUND(CX62*I62,2)</f>
        <v>0</v>
      </c>
      <c r="X62">
        <f t="shared" ref="X62:X72" si="33">ROUND(CY62,2)</f>
        <v>21186</v>
      </c>
      <c r="Y62">
        <f t="shared" ref="Y62:Y72" si="34">ROUND(CZ62,2)</f>
        <v>12341.36</v>
      </c>
      <c r="AA62">
        <v>65178645</v>
      </c>
      <c r="AB62">
        <f t="shared" ref="AB62:AB72" si="35">ROUND((AC62+AD62+AF62),6)</f>
        <v>1102.6065000000001</v>
      </c>
      <c r="AC62">
        <f t="shared" ref="AC62:AC72" si="36">ROUND((0),6)</f>
        <v>0</v>
      </c>
      <c r="AD62">
        <f>ROUND((((SUM(SmtRes!BR1:'SmtRes'!BR4))-(SUM(SmtRes!BS1:'SmtRes'!BS4)))+AE62),6)</f>
        <v>727.50360000000001</v>
      </c>
      <c r="AE62">
        <f>ROUND((SUM(SmtRes!BS1:'SmtRes'!BS4)),6)</f>
        <v>267.6764</v>
      </c>
      <c r="AF62">
        <f>ROUND((SUM(SmtRes!BT1:'SmtRes'!BT4)),6)</f>
        <v>375.10289999999998</v>
      </c>
      <c r="AG62">
        <f t="shared" ref="AG62:AG72" si="37">ROUND((AP62),6)</f>
        <v>0</v>
      </c>
      <c r="AH62">
        <f>(SUM(SmtRes!BU1:'SmtRes'!BU4))</f>
        <v>0.81</v>
      </c>
      <c r="AI62">
        <f>(SUM(SmtRes!BV1:'SmtRes'!BV4))</f>
        <v>0.48</v>
      </c>
      <c r="AJ62">
        <f t="shared" ref="AJ62:AJ72" si="38">(AS62)</f>
        <v>0</v>
      </c>
      <c r="AK62">
        <v>1370.2828999999999</v>
      </c>
      <c r="AL62">
        <v>0</v>
      </c>
      <c r="AM62">
        <v>727.50360000000001</v>
      </c>
      <c r="AN62">
        <v>267.6764</v>
      </c>
      <c r="AO62">
        <v>375.10289999999998</v>
      </c>
      <c r="AP62">
        <v>0</v>
      </c>
      <c r="AQ62">
        <v>0.81</v>
      </c>
      <c r="AR62">
        <v>0.48</v>
      </c>
      <c r="AS62">
        <v>0</v>
      </c>
      <c r="AT62">
        <v>103</v>
      </c>
      <c r="AU62">
        <v>60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1</v>
      </c>
      <c r="BJ62" t="s">
        <v>78</v>
      </c>
      <c r="BM62">
        <v>33002</v>
      </c>
      <c r="BN62">
        <v>0</v>
      </c>
      <c r="BO62" t="s">
        <v>3</v>
      </c>
      <c r="BP62">
        <v>0</v>
      </c>
      <c r="BQ62">
        <v>2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103</v>
      </c>
      <c r="CA62">
        <v>60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 t="shared" ref="CP62:CP72" si="39">(P62+Q62+S62+R62)</f>
        <v>48964.5</v>
      </c>
      <c r="CQ62">
        <f>SUMIF(SmtRes!AQ1:'SmtRes'!AQ4,"=1",SmtRes!AA1:'SmtRes'!AA4)</f>
        <v>0</v>
      </c>
      <c r="CR62">
        <f>SUMIF(SmtRes!AQ1:'SmtRes'!AQ4,"=1",SmtRes!AB1:'SmtRes'!AB4)</f>
        <v>2542.44</v>
      </c>
      <c r="CS62">
        <f>SUMIF(SmtRes!AQ1:'SmtRes'!AQ4,"=1",SmtRes!AC1:'SmtRes'!AC4)</f>
        <v>1054.31</v>
      </c>
      <c r="CT62">
        <f>SUMIF(SmtRes!AQ1:'SmtRes'!AQ4,"=1",SmtRes!AD1:'SmtRes'!AD4)</f>
        <v>463.09</v>
      </c>
      <c r="CU62">
        <f t="shared" ref="CU62:CU72" si="40">AG62</f>
        <v>0</v>
      </c>
      <c r="CV62">
        <f>SUMIF(SmtRes!AQ1:'SmtRes'!AQ4,"=1",SmtRes!BU1:'SmtRes'!BU4)</f>
        <v>0.81</v>
      </c>
      <c r="CW62">
        <f>SUMIF(SmtRes!AQ1:'SmtRes'!AQ4,"=1",SmtRes!BV1:'SmtRes'!BV4)</f>
        <v>0.48</v>
      </c>
      <c r="CX62">
        <f t="shared" ref="CX62:CX72" si="41">AJ62</f>
        <v>0</v>
      </c>
      <c r="CY62">
        <f t="shared" ref="CY62:CY72" si="42">(((S62+R62)*AT62)/100)</f>
        <v>21185.997900000002</v>
      </c>
      <c r="CZ62">
        <f t="shared" ref="CZ62:CZ72" si="43">(((S62+R62)*AU62)/100)</f>
        <v>12341.358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1013</v>
      </c>
      <c r="DV62" t="s">
        <v>77</v>
      </c>
      <c r="DW62" t="s">
        <v>77</v>
      </c>
      <c r="DX62">
        <v>1</v>
      </c>
      <c r="DZ62" t="s">
        <v>3</v>
      </c>
      <c r="EA62" t="s">
        <v>3</v>
      </c>
      <c r="EB62" t="s">
        <v>3</v>
      </c>
      <c r="EC62" t="s">
        <v>3</v>
      </c>
      <c r="EE62">
        <v>64851364</v>
      </c>
      <c r="EF62">
        <v>2</v>
      </c>
      <c r="EG62" t="s">
        <v>79</v>
      </c>
      <c r="EH62">
        <v>27</v>
      </c>
      <c r="EI62" t="s">
        <v>80</v>
      </c>
      <c r="EJ62">
        <v>1</v>
      </c>
      <c r="EK62">
        <v>33002</v>
      </c>
      <c r="EL62" t="s">
        <v>80</v>
      </c>
      <c r="EM62" t="s">
        <v>81</v>
      </c>
      <c r="EO62" t="s">
        <v>3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0.81</v>
      </c>
      <c r="EX62">
        <v>0.48</v>
      </c>
      <c r="EY62">
        <v>0</v>
      </c>
      <c r="FQ62">
        <v>0</v>
      </c>
      <c r="FR62">
        <f t="shared" ref="FR62:FR72" si="44">ROUND(IF(BI62=3,GM62,0),2)</f>
        <v>0</v>
      </c>
      <c r="FS62">
        <v>0</v>
      </c>
      <c r="FX62">
        <v>103</v>
      </c>
      <c r="FY62">
        <v>60</v>
      </c>
      <c r="GA62" t="s">
        <v>3</v>
      </c>
      <c r="GD62">
        <v>1</v>
      </c>
      <c r="GF62">
        <v>111143337</v>
      </c>
      <c r="GG62">
        <v>2</v>
      </c>
      <c r="GH62">
        <v>1</v>
      </c>
      <c r="GI62">
        <v>-2</v>
      </c>
      <c r="GJ62">
        <v>0</v>
      </c>
      <c r="GK62">
        <v>0</v>
      </c>
      <c r="GL62">
        <f t="shared" ref="GL62:GL72" si="45">ROUND(IF(AND(BH62=3,BI62=3,FS62&lt;&gt;0),P62,0),2)</f>
        <v>0</v>
      </c>
      <c r="GM62">
        <f t="shared" ref="GM62:GM72" si="46">ROUND(O62+X62+Y62,2)+GX62</f>
        <v>82491.86</v>
      </c>
      <c r="GN62">
        <f t="shared" ref="GN62:GN72" si="47">IF(OR(BI62=0,BI62=1),GM62-GX62,0)</f>
        <v>82491.86</v>
      </c>
      <c r="GO62">
        <f t="shared" ref="GO62:GO72" si="48">IF(BI62=2,GM62-GX62,0)</f>
        <v>0</v>
      </c>
      <c r="GP62">
        <f t="shared" ref="GP62:GP72" si="49">IF(BI62=4,GM62-GX62,0)</f>
        <v>0</v>
      </c>
      <c r="GR62">
        <v>0</v>
      </c>
      <c r="GS62">
        <v>0</v>
      </c>
      <c r="GT62">
        <v>0</v>
      </c>
      <c r="GU62" t="s">
        <v>3</v>
      </c>
      <c r="GV62">
        <f t="shared" ref="GV62:GV72" si="50">ROUND((GT62),6)</f>
        <v>0</v>
      </c>
      <c r="GW62">
        <v>1</v>
      </c>
      <c r="GX62">
        <f t="shared" ref="GX62:GX72" si="51">ROUND(HC62*I62,2)</f>
        <v>0</v>
      </c>
      <c r="HA62">
        <v>0</v>
      </c>
      <c r="HB62">
        <v>0</v>
      </c>
      <c r="HC62">
        <f t="shared" ref="HC62:HC72" si="52">GV62*GW62</f>
        <v>0</v>
      </c>
      <c r="HE62" t="s">
        <v>3</v>
      </c>
      <c r="HF62" t="s">
        <v>3</v>
      </c>
      <c r="HM62" t="s">
        <v>3</v>
      </c>
      <c r="HN62" t="s">
        <v>82</v>
      </c>
      <c r="HO62" t="s">
        <v>83</v>
      </c>
      <c r="HP62" t="s">
        <v>80</v>
      </c>
      <c r="HQ62" t="s">
        <v>80</v>
      </c>
      <c r="IK62">
        <v>0</v>
      </c>
    </row>
    <row r="63" spans="1:245" x14ac:dyDescent="0.2">
      <c r="A63">
        <v>17</v>
      </c>
      <c r="B63">
        <v>1</v>
      </c>
      <c r="C63">
        <f>ROW(SmtRes!A9)</f>
        <v>9</v>
      </c>
      <c r="D63">
        <f>ROW(EtalonRes!A9)</f>
        <v>9</v>
      </c>
      <c r="E63" t="s">
        <v>84</v>
      </c>
      <c r="F63" t="s">
        <v>85</v>
      </c>
      <c r="G63" t="s">
        <v>86</v>
      </c>
      <c r="H63" t="s">
        <v>77</v>
      </c>
      <c r="I63">
        <v>32</v>
      </c>
      <c r="J63">
        <v>0</v>
      </c>
      <c r="K63">
        <v>32</v>
      </c>
      <c r="O63">
        <f t="shared" si="30"/>
        <v>31042.98</v>
      </c>
      <c r="P63">
        <f>SUMIF(SmtRes!AQ5:'SmtRes'!AQ9,"=1",SmtRes!DF5:'SmtRes'!DF9)</f>
        <v>0</v>
      </c>
      <c r="Q63">
        <f>SUMIF(SmtRes!AQ5:'SmtRes'!AQ9,"=1",SmtRes!DG5:'SmtRes'!DG9)</f>
        <v>16338.89</v>
      </c>
      <c r="R63">
        <f>SUMIF(SmtRes!AQ5:'SmtRes'!AQ9,"=1",SmtRes!DH5:'SmtRes'!DH9)</f>
        <v>8828.08</v>
      </c>
      <c r="S63">
        <f>SUMIF(SmtRes!AQ5:'SmtRes'!AQ9,"=1",SmtRes!DI5:'SmtRes'!DI9)</f>
        <v>5876.01</v>
      </c>
      <c r="T63">
        <f t="shared" si="31"/>
        <v>0</v>
      </c>
      <c r="U63">
        <f>SUMIF(SmtRes!AQ5:'SmtRes'!AQ9,"=1",SmtRes!CV5:'SmtRes'!CV9)</f>
        <v>14.08</v>
      </c>
      <c r="V63">
        <f>SUMIF(SmtRes!AQ5:'SmtRes'!AQ9,"=1",SmtRes!CW5:'SmtRes'!CW9)</f>
        <v>15.36</v>
      </c>
      <c r="W63">
        <f t="shared" si="32"/>
        <v>0</v>
      </c>
      <c r="X63">
        <f t="shared" si="33"/>
        <v>15145.21</v>
      </c>
      <c r="Y63">
        <f t="shared" si="34"/>
        <v>8822.4500000000007</v>
      </c>
      <c r="AA63">
        <v>65178645</v>
      </c>
      <c r="AB63">
        <f t="shared" si="35"/>
        <v>675.69</v>
      </c>
      <c r="AC63">
        <f t="shared" si="36"/>
        <v>0</v>
      </c>
      <c r="AD63">
        <f>ROUND((((SUM(SmtRes!BR5:'SmtRes'!BR9))-(SUM(SmtRes!BS5:'SmtRes'!BS9)))+AE63),6)</f>
        <v>492.06479999999999</v>
      </c>
      <c r="AE63">
        <f>ROUND((SUM(SmtRes!BS5:'SmtRes'!BS9)),6)</f>
        <v>275.87759999999997</v>
      </c>
      <c r="AF63">
        <f>ROUND((SUM(SmtRes!BT5:'SmtRes'!BT9)),6)</f>
        <v>183.62520000000001</v>
      </c>
      <c r="AG63">
        <f t="shared" si="37"/>
        <v>0</v>
      </c>
      <c r="AH63">
        <f>(SUM(SmtRes!BU5:'SmtRes'!BU9))</f>
        <v>0.44</v>
      </c>
      <c r="AI63">
        <f>(SUM(SmtRes!BV5:'SmtRes'!BV9))</f>
        <v>0.48</v>
      </c>
      <c r="AJ63">
        <f t="shared" si="38"/>
        <v>0</v>
      </c>
      <c r="AK63">
        <v>951.56760000000008</v>
      </c>
      <c r="AL63">
        <v>0</v>
      </c>
      <c r="AM63">
        <v>492.06479999999999</v>
      </c>
      <c r="AN63">
        <v>275.87760000000003</v>
      </c>
      <c r="AO63">
        <v>183.62520000000001</v>
      </c>
      <c r="AP63">
        <v>0</v>
      </c>
      <c r="AQ63">
        <v>0.44</v>
      </c>
      <c r="AR63">
        <v>0.48</v>
      </c>
      <c r="AS63">
        <v>0</v>
      </c>
      <c r="AT63">
        <v>103</v>
      </c>
      <c r="AU63">
        <v>60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1</v>
      </c>
      <c r="BJ63" t="s">
        <v>87</v>
      </c>
      <c r="BM63">
        <v>33001</v>
      </c>
      <c r="BN63">
        <v>0</v>
      </c>
      <c r="BO63" t="s">
        <v>3</v>
      </c>
      <c r="BP63">
        <v>0</v>
      </c>
      <c r="BQ63">
        <v>2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103</v>
      </c>
      <c r="CA63">
        <v>60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 t="shared" si="39"/>
        <v>31042.980000000003</v>
      </c>
      <c r="CQ63">
        <f>SUMIF(SmtRes!AQ5:'SmtRes'!AQ9,"=1",SmtRes!AA5:'SmtRes'!AA9)</f>
        <v>0</v>
      </c>
      <c r="CR63">
        <f>SUMIF(SmtRes!AQ5:'SmtRes'!AQ9,"=1",SmtRes!AB5:'SmtRes'!AB9)</f>
        <v>2127.46</v>
      </c>
      <c r="CS63">
        <f>SUMIF(SmtRes!AQ5:'SmtRes'!AQ9,"=1",SmtRes!AC5:'SmtRes'!AC9)</f>
        <v>1149.49</v>
      </c>
      <c r="CT63">
        <f>SUMIF(SmtRes!AQ5:'SmtRes'!AQ9,"=1",SmtRes!AD5:'SmtRes'!AD9)</f>
        <v>417.33</v>
      </c>
      <c r="CU63">
        <f t="shared" si="40"/>
        <v>0</v>
      </c>
      <c r="CV63">
        <f>SUMIF(SmtRes!AQ5:'SmtRes'!AQ9,"=1",SmtRes!BU5:'SmtRes'!BU9)</f>
        <v>0.44</v>
      </c>
      <c r="CW63">
        <f>SUMIF(SmtRes!AQ5:'SmtRes'!AQ9,"=1",SmtRes!BV5:'SmtRes'!BV9)</f>
        <v>0.48</v>
      </c>
      <c r="CX63">
        <f t="shared" si="41"/>
        <v>0</v>
      </c>
      <c r="CY63">
        <f t="shared" si="42"/>
        <v>15145.2127</v>
      </c>
      <c r="CZ63">
        <f t="shared" si="43"/>
        <v>8822.4539999999997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1013</v>
      </c>
      <c r="DV63" t="s">
        <v>77</v>
      </c>
      <c r="DW63" t="s">
        <v>77</v>
      </c>
      <c r="DX63">
        <v>1</v>
      </c>
      <c r="DZ63" t="s">
        <v>3</v>
      </c>
      <c r="EA63" t="s">
        <v>3</v>
      </c>
      <c r="EB63" t="s">
        <v>3</v>
      </c>
      <c r="EC63" t="s">
        <v>3</v>
      </c>
      <c r="EE63">
        <v>64851056</v>
      </c>
      <c r="EF63">
        <v>2</v>
      </c>
      <c r="EG63" t="s">
        <v>79</v>
      </c>
      <c r="EH63">
        <v>27</v>
      </c>
      <c r="EI63" t="s">
        <v>80</v>
      </c>
      <c r="EJ63">
        <v>1</v>
      </c>
      <c r="EK63">
        <v>33001</v>
      </c>
      <c r="EL63" t="s">
        <v>80</v>
      </c>
      <c r="EM63" t="s">
        <v>81</v>
      </c>
      <c r="EO63" t="s">
        <v>3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0.44</v>
      </c>
      <c r="EX63">
        <v>0.48</v>
      </c>
      <c r="EY63">
        <v>0</v>
      </c>
      <c r="FQ63">
        <v>0</v>
      </c>
      <c r="FR63">
        <f t="shared" si="44"/>
        <v>0</v>
      </c>
      <c r="FS63">
        <v>0</v>
      </c>
      <c r="FX63">
        <v>103</v>
      </c>
      <c r="FY63">
        <v>60</v>
      </c>
      <c r="GA63" t="s">
        <v>3</v>
      </c>
      <c r="GD63">
        <v>1</v>
      </c>
      <c r="GF63">
        <v>1519520175</v>
      </c>
      <c r="GG63">
        <v>2</v>
      </c>
      <c r="GH63">
        <v>1</v>
      </c>
      <c r="GI63">
        <v>-2</v>
      </c>
      <c r="GJ63">
        <v>0</v>
      </c>
      <c r="GK63">
        <v>0</v>
      </c>
      <c r="GL63">
        <f t="shared" si="45"/>
        <v>0</v>
      </c>
      <c r="GM63">
        <f t="shared" si="46"/>
        <v>55010.64</v>
      </c>
      <c r="GN63">
        <f t="shared" si="47"/>
        <v>55010.64</v>
      </c>
      <c r="GO63">
        <f t="shared" si="48"/>
        <v>0</v>
      </c>
      <c r="GP63">
        <f t="shared" si="49"/>
        <v>0</v>
      </c>
      <c r="GR63">
        <v>0</v>
      </c>
      <c r="GS63">
        <v>0</v>
      </c>
      <c r="GT63">
        <v>0</v>
      </c>
      <c r="GU63" t="s">
        <v>3</v>
      </c>
      <c r="GV63">
        <f t="shared" si="50"/>
        <v>0</v>
      </c>
      <c r="GW63">
        <v>1</v>
      </c>
      <c r="GX63">
        <f t="shared" si="51"/>
        <v>0</v>
      </c>
      <c r="HA63">
        <v>0</v>
      </c>
      <c r="HB63">
        <v>0</v>
      </c>
      <c r="HC63">
        <f t="shared" si="52"/>
        <v>0</v>
      </c>
      <c r="HE63" t="s">
        <v>3</v>
      </c>
      <c r="HF63" t="s">
        <v>3</v>
      </c>
      <c r="HM63" t="s">
        <v>3</v>
      </c>
      <c r="HN63" t="s">
        <v>82</v>
      </c>
      <c r="HO63" t="s">
        <v>83</v>
      </c>
      <c r="HP63" t="s">
        <v>80</v>
      </c>
      <c r="HQ63" t="s">
        <v>80</v>
      </c>
      <c r="IK63">
        <v>0</v>
      </c>
    </row>
    <row r="64" spans="1:245" x14ac:dyDescent="0.2">
      <c r="A64">
        <v>17</v>
      </c>
      <c r="B64">
        <v>1</v>
      </c>
      <c r="C64">
        <f>ROW(SmtRes!A13)</f>
        <v>13</v>
      </c>
      <c r="D64">
        <f>ROW(EtalonRes!A13)</f>
        <v>13</v>
      </c>
      <c r="E64" t="s">
        <v>88</v>
      </c>
      <c r="F64" t="s">
        <v>89</v>
      </c>
      <c r="G64" t="s">
        <v>90</v>
      </c>
      <c r="H64" t="s">
        <v>77</v>
      </c>
      <c r="I64">
        <v>32</v>
      </c>
      <c r="J64">
        <v>0</v>
      </c>
      <c r="K64">
        <v>32</v>
      </c>
      <c r="O64">
        <f t="shared" si="30"/>
        <v>8117.99</v>
      </c>
      <c r="P64">
        <f>SUMIF(SmtRes!AQ10:'SmtRes'!AQ13,"=1",SmtRes!DF10:'SmtRes'!DF13)</f>
        <v>0</v>
      </c>
      <c r="Q64">
        <f>SUMIF(SmtRes!AQ10:'SmtRes'!AQ13,"=1",SmtRes!DG10:'SmtRes'!DG13)</f>
        <v>2581.69</v>
      </c>
      <c r="R64">
        <f>SUMIF(SmtRes!AQ10:'SmtRes'!AQ13,"=1",SmtRes!DH10:'SmtRes'!DH13)</f>
        <v>2197.66</v>
      </c>
      <c r="S64">
        <f>SUMIF(SmtRes!AQ10:'SmtRes'!AQ13,"=1",SmtRes!DI10:'SmtRes'!DI13)</f>
        <v>3338.64</v>
      </c>
      <c r="T64">
        <f t="shared" si="31"/>
        <v>0</v>
      </c>
      <c r="U64">
        <f>SUMIF(SmtRes!AQ10:'SmtRes'!AQ13,"=1",SmtRes!CV10:'SmtRes'!CV13)</f>
        <v>8</v>
      </c>
      <c r="V64">
        <f>SUMIF(SmtRes!AQ10:'SmtRes'!AQ13,"=1",SmtRes!CW10:'SmtRes'!CW13)</f>
        <v>4.4800000000000004</v>
      </c>
      <c r="W64">
        <f t="shared" si="32"/>
        <v>0</v>
      </c>
      <c r="X64">
        <f t="shared" si="33"/>
        <v>5702.39</v>
      </c>
      <c r="Y64">
        <f t="shared" si="34"/>
        <v>3321.78</v>
      </c>
      <c r="AA64">
        <v>65178645</v>
      </c>
      <c r="AB64">
        <f t="shared" si="35"/>
        <v>174.2037</v>
      </c>
      <c r="AC64">
        <f t="shared" si="36"/>
        <v>0</v>
      </c>
      <c r="AD64">
        <f>ROUND((((SUM(SmtRes!BR10:'SmtRes'!BR13))-(SUM(SmtRes!BS10:'SmtRes'!BS13)))+AE64),6)</f>
        <v>69.871200000000002</v>
      </c>
      <c r="AE64">
        <f>ROUND((SUM(SmtRes!BS10:'SmtRes'!BS13)),6)</f>
        <v>68.677000000000007</v>
      </c>
      <c r="AF64">
        <f>ROUND((SUM(SmtRes!BT10:'SmtRes'!BT13)),6)</f>
        <v>104.3325</v>
      </c>
      <c r="AG64">
        <f t="shared" si="37"/>
        <v>0</v>
      </c>
      <c r="AH64">
        <f>(SUM(SmtRes!BU10:'SmtRes'!BU13))</f>
        <v>0.25</v>
      </c>
      <c r="AI64">
        <f>(SUM(SmtRes!BV10:'SmtRes'!BV13))</f>
        <v>0.14000000000000001</v>
      </c>
      <c r="AJ64">
        <f t="shared" si="38"/>
        <v>0</v>
      </c>
      <c r="AK64">
        <v>242.88070000000005</v>
      </c>
      <c r="AL64">
        <v>0</v>
      </c>
      <c r="AM64">
        <v>69.871200000000016</v>
      </c>
      <c r="AN64">
        <v>68.677000000000007</v>
      </c>
      <c r="AO64">
        <v>104.3325</v>
      </c>
      <c r="AP64">
        <v>0</v>
      </c>
      <c r="AQ64">
        <v>0.25</v>
      </c>
      <c r="AR64">
        <v>0.14000000000000001</v>
      </c>
      <c r="AS64">
        <v>0</v>
      </c>
      <c r="AT64">
        <v>103</v>
      </c>
      <c r="AU64">
        <v>60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3</v>
      </c>
      <c r="BE64" t="s">
        <v>3</v>
      </c>
      <c r="BF64" t="s">
        <v>3</v>
      </c>
      <c r="BG64" t="s">
        <v>3</v>
      </c>
      <c r="BH64">
        <v>0</v>
      </c>
      <c r="BI64">
        <v>1</v>
      </c>
      <c r="BJ64" t="s">
        <v>91</v>
      </c>
      <c r="BM64">
        <v>33001</v>
      </c>
      <c r="BN64">
        <v>0</v>
      </c>
      <c r="BO64" t="s">
        <v>3</v>
      </c>
      <c r="BP64">
        <v>0</v>
      </c>
      <c r="BQ64">
        <v>2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103</v>
      </c>
      <c r="CA64">
        <v>60</v>
      </c>
      <c r="CB64" t="s">
        <v>3</v>
      </c>
      <c r="CE64">
        <v>0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 t="shared" si="39"/>
        <v>8117.99</v>
      </c>
      <c r="CQ64">
        <f>SUMIF(SmtRes!AQ10:'SmtRes'!AQ13,"=1",SmtRes!AA10:'SmtRes'!AA13)</f>
        <v>0</v>
      </c>
      <c r="CR64">
        <f>SUMIF(SmtRes!AQ10:'SmtRes'!AQ13,"=1",SmtRes!AB10:'SmtRes'!AB13)</f>
        <v>576.27</v>
      </c>
      <c r="CS64">
        <f>SUMIF(SmtRes!AQ10:'SmtRes'!AQ13,"=1",SmtRes!AC10:'SmtRes'!AC13)</f>
        <v>490.55</v>
      </c>
      <c r="CT64">
        <f>SUMIF(SmtRes!AQ10:'SmtRes'!AQ13,"=1",SmtRes!AD10:'SmtRes'!AD13)</f>
        <v>417.33</v>
      </c>
      <c r="CU64">
        <f t="shared" si="40"/>
        <v>0</v>
      </c>
      <c r="CV64">
        <f>SUMIF(SmtRes!AQ10:'SmtRes'!AQ13,"=1",SmtRes!BU10:'SmtRes'!BU13)</f>
        <v>0.25</v>
      </c>
      <c r="CW64">
        <f>SUMIF(SmtRes!AQ10:'SmtRes'!AQ13,"=1",SmtRes!BV10:'SmtRes'!BV13)</f>
        <v>0.14000000000000001</v>
      </c>
      <c r="CX64">
        <f t="shared" si="41"/>
        <v>0</v>
      </c>
      <c r="CY64">
        <f t="shared" si="42"/>
        <v>5702.3889999999992</v>
      </c>
      <c r="CZ64">
        <f t="shared" si="43"/>
        <v>3321.7799999999993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1013</v>
      </c>
      <c r="DV64" t="s">
        <v>77</v>
      </c>
      <c r="DW64" t="s">
        <v>77</v>
      </c>
      <c r="DX64">
        <v>1</v>
      </c>
      <c r="DZ64" t="s">
        <v>3</v>
      </c>
      <c r="EA64" t="s">
        <v>3</v>
      </c>
      <c r="EB64" t="s">
        <v>3</v>
      </c>
      <c r="EC64" t="s">
        <v>3</v>
      </c>
      <c r="EE64">
        <v>64851056</v>
      </c>
      <c r="EF64">
        <v>2</v>
      </c>
      <c r="EG64" t="s">
        <v>79</v>
      </c>
      <c r="EH64">
        <v>27</v>
      </c>
      <c r="EI64" t="s">
        <v>80</v>
      </c>
      <c r="EJ64">
        <v>1</v>
      </c>
      <c r="EK64">
        <v>33001</v>
      </c>
      <c r="EL64" t="s">
        <v>80</v>
      </c>
      <c r="EM64" t="s">
        <v>81</v>
      </c>
      <c r="EO64" t="s">
        <v>3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0.25</v>
      </c>
      <c r="EX64">
        <v>0.14000000000000001</v>
      </c>
      <c r="EY64">
        <v>0</v>
      </c>
      <c r="FQ64">
        <v>0</v>
      </c>
      <c r="FR64">
        <f t="shared" si="44"/>
        <v>0</v>
      </c>
      <c r="FS64">
        <v>0</v>
      </c>
      <c r="FX64">
        <v>103</v>
      </c>
      <c r="FY64">
        <v>60</v>
      </c>
      <c r="GA64" t="s">
        <v>3</v>
      </c>
      <c r="GD64">
        <v>1</v>
      </c>
      <c r="GF64">
        <v>1247661634</v>
      </c>
      <c r="GG64">
        <v>2</v>
      </c>
      <c r="GH64">
        <v>1</v>
      </c>
      <c r="GI64">
        <v>-2</v>
      </c>
      <c r="GJ64">
        <v>0</v>
      </c>
      <c r="GK64">
        <v>0</v>
      </c>
      <c r="GL64">
        <f t="shared" si="45"/>
        <v>0</v>
      </c>
      <c r="GM64">
        <f t="shared" si="46"/>
        <v>17142.16</v>
      </c>
      <c r="GN64">
        <f t="shared" si="47"/>
        <v>17142.16</v>
      </c>
      <c r="GO64">
        <f t="shared" si="48"/>
        <v>0</v>
      </c>
      <c r="GP64">
        <f t="shared" si="49"/>
        <v>0</v>
      </c>
      <c r="GR64">
        <v>0</v>
      </c>
      <c r="GS64">
        <v>0</v>
      </c>
      <c r="GT64">
        <v>0</v>
      </c>
      <c r="GU64" t="s">
        <v>3</v>
      </c>
      <c r="GV64">
        <f t="shared" si="50"/>
        <v>0</v>
      </c>
      <c r="GW64">
        <v>1</v>
      </c>
      <c r="GX64">
        <f t="shared" si="51"/>
        <v>0</v>
      </c>
      <c r="HA64">
        <v>0</v>
      </c>
      <c r="HB64">
        <v>0</v>
      </c>
      <c r="HC64">
        <f t="shared" si="52"/>
        <v>0</v>
      </c>
      <c r="HE64" t="s">
        <v>3</v>
      </c>
      <c r="HF64" t="s">
        <v>3</v>
      </c>
      <c r="HM64" t="s">
        <v>3</v>
      </c>
      <c r="HN64" t="s">
        <v>82</v>
      </c>
      <c r="HO64" t="s">
        <v>83</v>
      </c>
      <c r="HP64" t="s">
        <v>80</v>
      </c>
      <c r="HQ64" t="s">
        <v>80</v>
      </c>
      <c r="IK64">
        <v>0</v>
      </c>
    </row>
    <row r="65" spans="1:245" x14ac:dyDescent="0.2">
      <c r="A65">
        <v>17</v>
      </c>
      <c r="B65">
        <v>1</v>
      </c>
      <c r="C65">
        <f>ROW(SmtRes!A17)</f>
        <v>17</v>
      </c>
      <c r="D65">
        <f>ROW(EtalonRes!A17)</f>
        <v>17</v>
      </c>
      <c r="E65" t="s">
        <v>92</v>
      </c>
      <c r="F65" t="s">
        <v>93</v>
      </c>
      <c r="G65" t="s">
        <v>94</v>
      </c>
      <c r="H65" t="s">
        <v>77</v>
      </c>
      <c r="I65">
        <v>32</v>
      </c>
      <c r="J65">
        <v>0</v>
      </c>
      <c r="K65">
        <v>32</v>
      </c>
      <c r="O65">
        <f t="shared" si="30"/>
        <v>30234.2</v>
      </c>
      <c r="P65">
        <f>SUMIF(SmtRes!AQ14:'SmtRes'!AQ17,"=1",SmtRes!DF14:'SmtRes'!DF17)</f>
        <v>0</v>
      </c>
      <c r="Q65">
        <f>SUMIF(SmtRes!AQ14:'SmtRes'!AQ17,"=1",SmtRes!DG14:'SmtRes'!DG17)</f>
        <v>6391.66</v>
      </c>
      <c r="R65">
        <f>SUMIF(SmtRes!AQ14:'SmtRes'!AQ17,"=1",SmtRes!DH14:'SmtRes'!DH17)</f>
        <v>6436.0199999999995</v>
      </c>
      <c r="S65">
        <f>SUMIF(SmtRes!AQ14:'SmtRes'!AQ17,"=1",SmtRes!DI14:'SmtRes'!DI17)</f>
        <v>17406.52</v>
      </c>
      <c r="T65">
        <f t="shared" si="31"/>
        <v>0</v>
      </c>
      <c r="U65">
        <f>SUMIF(SmtRes!AQ14:'SmtRes'!AQ17,"=1",SmtRes!CV14:'SmtRes'!CV17)</f>
        <v>40.64</v>
      </c>
      <c r="V65">
        <f>SUMIF(SmtRes!AQ14:'SmtRes'!AQ17,"=1",SmtRes!CW14:'SmtRes'!CW17)</f>
        <v>13.12</v>
      </c>
      <c r="W65">
        <f t="shared" si="32"/>
        <v>0</v>
      </c>
      <c r="X65">
        <f t="shared" si="33"/>
        <v>24557.82</v>
      </c>
      <c r="Y65">
        <f t="shared" si="34"/>
        <v>14305.52</v>
      </c>
      <c r="AA65">
        <v>65178645</v>
      </c>
      <c r="AB65">
        <f t="shared" si="35"/>
        <v>693.98440000000005</v>
      </c>
      <c r="AC65">
        <f t="shared" si="36"/>
        <v>0</v>
      </c>
      <c r="AD65">
        <f>ROUND((((SUM(SmtRes!BR14:'SmtRes'!BR17))-(SUM(SmtRes!BS14:'SmtRes'!BS17)))+AE65),6)</f>
        <v>150.0307</v>
      </c>
      <c r="AE65">
        <f>ROUND((SUM(SmtRes!BS14:'SmtRes'!BS17)),6)</f>
        <v>201.12549999999999</v>
      </c>
      <c r="AF65">
        <f>ROUND((SUM(SmtRes!BT14:'SmtRes'!BT17)),6)</f>
        <v>543.95370000000003</v>
      </c>
      <c r="AG65">
        <f t="shared" si="37"/>
        <v>0</v>
      </c>
      <c r="AH65">
        <f>(SUM(SmtRes!BU14:'SmtRes'!BU17))</f>
        <v>1.27</v>
      </c>
      <c r="AI65">
        <f>(SUM(SmtRes!BV14:'SmtRes'!BV17))</f>
        <v>0.41</v>
      </c>
      <c r="AJ65">
        <f t="shared" si="38"/>
        <v>0</v>
      </c>
      <c r="AK65">
        <v>895.10990000000004</v>
      </c>
      <c r="AL65">
        <v>0</v>
      </c>
      <c r="AM65">
        <v>150.0307</v>
      </c>
      <c r="AN65">
        <v>201.12549999999999</v>
      </c>
      <c r="AO65">
        <v>543.95370000000003</v>
      </c>
      <c r="AP65">
        <v>0</v>
      </c>
      <c r="AQ65">
        <v>1.27</v>
      </c>
      <c r="AR65">
        <v>0.41</v>
      </c>
      <c r="AS65">
        <v>0</v>
      </c>
      <c r="AT65">
        <v>103</v>
      </c>
      <c r="AU65">
        <v>60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</v>
      </c>
      <c r="BD65" t="s">
        <v>3</v>
      </c>
      <c r="BE65" t="s">
        <v>3</v>
      </c>
      <c r="BF65" t="s">
        <v>3</v>
      </c>
      <c r="BG65" t="s">
        <v>3</v>
      </c>
      <c r="BH65">
        <v>0</v>
      </c>
      <c r="BI65">
        <v>1</v>
      </c>
      <c r="BJ65" t="s">
        <v>95</v>
      </c>
      <c r="BM65">
        <v>33002</v>
      </c>
      <c r="BN65">
        <v>0</v>
      </c>
      <c r="BO65" t="s">
        <v>3</v>
      </c>
      <c r="BP65">
        <v>0</v>
      </c>
      <c r="BQ65">
        <v>2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103</v>
      </c>
      <c r="CA65">
        <v>60</v>
      </c>
      <c r="CB65" t="s">
        <v>3</v>
      </c>
      <c r="CE65">
        <v>0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 t="shared" si="39"/>
        <v>30234.2</v>
      </c>
      <c r="CQ65">
        <f>SUMIF(SmtRes!AQ14:'SmtRes'!AQ17,"=1",SmtRes!AA14:'SmtRes'!AA17)</f>
        <v>0</v>
      </c>
      <c r="CR65">
        <f>SUMIF(SmtRes!AQ14:'SmtRes'!AQ17,"=1",SmtRes!AB14:'SmtRes'!AB17)</f>
        <v>1049.83</v>
      </c>
      <c r="CS65">
        <f>SUMIF(SmtRes!AQ14:'SmtRes'!AQ17,"=1",SmtRes!AC14:'SmtRes'!AC17)</f>
        <v>981.1</v>
      </c>
      <c r="CT65">
        <f>SUMIF(SmtRes!AQ14:'SmtRes'!AQ17,"=1",SmtRes!AD14:'SmtRes'!AD17)</f>
        <v>428.31</v>
      </c>
      <c r="CU65">
        <f t="shared" si="40"/>
        <v>0</v>
      </c>
      <c r="CV65">
        <f>SUMIF(SmtRes!AQ14:'SmtRes'!AQ17,"=1",SmtRes!BU14:'SmtRes'!BU17)</f>
        <v>1.27</v>
      </c>
      <c r="CW65">
        <f>SUMIF(SmtRes!AQ14:'SmtRes'!AQ17,"=1",SmtRes!BV14:'SmtRes'!BV17)</f>
        <v>0.41</v>
      </c>
      <c r="CX65">
        <f t="shared" si="41"/>
        <v>0</v>
      </c>
      <c r="CY65">
        <f t="shared" si="42"/>
        <v>24557.816200000001</v>
      </c>
      <c r="CZ65">
        <f t="shared" si="43"/>
        <v>14305.524000000001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1013</v>
      </c>
      <c r="DV65" t="s">
        <v>77</v>
      </c>
      <c r="DW65" t="s">
        <v>77</v>
      </c>
      <c r="DX65">
        <v>1</v>
      </c>
      <c r="DZ65" t="s">
        <v>3</v>
      </c>
      <c r="EA65" t="s">
        <v>3</v>
      </c>
      <c r="EB65" t="s">
        <v>3</v>
      </c>
      <c r="EC65" t="s">
        <v>3</v>
      </c>
      <c r="EE65">
        <v>64851364</v>
      </c>
      <c r="EF65">
        <v>2</v>
      </c>
      <c r="EG65" t="s">
        <v>79</v>
      </c>
      <c r="EH65">
        <v>27</v>
      </c>
      <c r="EI65" t="s">
        <v>80</v>
      </c>
      <c r="EJ65">
        <v>1</v>
      </c>
      <c r="EK65">
        <v>33002</v>
      </c>
      <c r="EL65" t="s">
        <v>80</v>
      </c>
      <c r="EM65" t="s">
        <v>81</v>
      </c>
      <c r="EO65" t="s">
        <v>3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1.27</v>
      </c>
      <c r="EX65">
        <v>0.41</v>
      </c>
      <c r="EY65">
        <v>0</v>
      </c>
      <c r="FQ65">
        <v>0</v>
      </c>
      <c r="FR65">
        <f t="shared" si="44"/>
        <v>0</v>
      </c>
      <c r="FS65">
        <v>0</v>
      </c>
      <c r="FX65">
        <v>103</v>
      </c>
      <c r="FY65">
        <v>60</v>
      </c>
      <c r="GA65" t="s">
        <v>3</v>
      </c>
      <c r="GD65">
        <v>1</v>
      </c>
      <c r="GF65">
        <v>663929693</v>
      </c>
      <c r="GG65">
        <v>2</v>
      </c>
      <c r="GH65">
        <v>1</v>
      </c>
      <c r="GI65">
        <v>-2</v>
      </c>
      <c r="GJ65">
        <v>0</v>
      </c>
      <c r="GK65">
        <v>0</v>
      </c>
      <c r="GL65">
        <f t="shared" si="45"/>
        <v>0</v>
      </c>
      <c r="GM65">
        <f t="shared" si="46"/>
        <v>69097.539999999994</v>
      </c>
      <c r="GN65">
        <f t="shared" si="47"/>
        <v>69097.539999999994</v>
      </c>
      <c r="GO65">
        <f t="shared" si="48"/>
        <v>0</v>
      </c>
      <c r="GP65">
        <f t="shared" si="49"/>
        <v>0</v>
      </c>
      <c r="GR65">
        <v>0</v>
      </c>
      <c r="GS65">
        <v>3</v>
      </c>
      <c r="GT65">
        <v>0</v>
      </c>
      <c r="GU65" t="s">
        <v>3</v>
      </c>
      <c r="GV65">
        <f t="shared" si="50"/>
        <v>0</v>
      </c>
      <c r="GW65">
        <v>1</v>
      </c>
      <c r="GX65">
        <f t="shared" si="51"/>
        <v>0</v>
      </c>
      <c r="HA65">
        <v>0</v>
      </c>
      <c r="HB65">
        <v>0</v>
      </c>
      <c r="HC65">
        <f t="shared" si="52"/>
        <v>0</v>
      </c>
      <c r="HE65" t="s">
        <v>3</v>
      </c>
      <c r="HF65" t="s">
        <v>3</v>
      </c>
      <c r="HM65" t="s">
        <v>3</v>
      </c>
      <c r="HN65" t="s">
        <v>82</v>
      </c>
      <c r="HO65" t="s">
        <v>83</v>
      </c>
      <c r="HP65" t="s">
        <v>80</v>
      </c>
      <c r="HQ65" t="s">
        <v>80</v>
      </c>
      <c r="IK65">
        <v>0</v>
      </c>
    </row>
    <row r="66" spans="1:245" x14ac:dyDescent="0.2">
      <c r="A66">
        <v>17</v>
      </c>
      <c r="B66">
        <v>1</v>
      </c>
      <c r="C66">
        <f>ROW(SmtRes!A21)</f>
        <v>21</v>
      </c>
      <c r="D66">
        <f>ROW(EtalonRes!A21)</f>
        <v>21</v>
      </c>
      <c r="E66" t="s">
        <v>96</v>
      </c>
      <c r="F66" t="s">
        <v>97</v>
      </c>
      <c r="G66" t="s">
        <v>98</v>
      </c>
      <c r="H66" t="s">
        <v>77</v>
      </c>
      <c r="I66">
        <v>32</v>
      </c>
      <c r="J66">
        <v>0</v>
      </c>
      <c r="K66">
        <v>32</v>
      </c>
      <c r="O66">
        <f t="shared" si="30"/>
        <v>9035.75</v>
      </c>
      <c r="P66">
        <f>SUMIF(SmtRes!AQ18:'SmtRes'!AQ21,"=1",SmtRes!DF18:'SmtRes'!DF21)</f>
        <v>0</v>
      </c>
      <c r="Q66">
        <f>SUMIF(SmtRes!AQ18:'SmtRes'!AQ21,"=1",SmtRes!DG18:'SmtRes'!DG21)</f>
        <v>2482.64</v>
      </c>
      <c r="R66">
        <f>SUMIF(SmtRes!AQ18:'SmtRes'!AQ21,"=1",SmtRes!DH18:'SmtRes'!DH21)</f>
        <v>2511.6099999999997</v>
      </c>
      <c r="S66">
        <f>SUMIF(SmtRes!AQ18:'SmtRes'!AQ21,"=1",SmtRes!DI18:'SmtRes'!DI21)</f>
        <v>4041.5</v>
      </c>
      <c r="T66">
        <f t="shared" si="31"/>
        <v>0</v>
      </c>
      <c r="U66">
        <f>SUMIF(SmtRes!AQ18:'SmtRes'!AQ21,"=1",SmtRes!CV18:'SmtRes'!CV21)</f>
        <v>9.6</v>
      </c>
      <c r="V66">
        <f>SUMIF(SmtRes!AQ18:'SmtRes'!AQ21,"=1",SmtRes!CW18:'SmtRes'!CW21)</f>
        <v>5.12</v>
      </c>
      <c r="W66">
        <f t="shared" si="32"/>
        <v>0</v>
      </c>
      <c r="X66">
        <f t="shared" si="33"/>
        <v>6749.7</v>
      </c>
      <c r="Y66">
        <f t="shared" si="34"/>
        <v>3931.87</v>
      </c>
      <c r="AA66">
        <v>65178645</v>
      </c>
      <c r="AB66">
        <f t="shared" si="35"/>
        <v>184.39760000000001</v>
      </c>
      <c r="AC66">
        <f t="shared" si="36"/>
        <v>0</v>
      </c>
      <c r="AD66">
        <f>ROUND((((SUM(SmtRes!BR18:'SmtRes'!BR21))-(SUM(SmtRes!BS18:'SmtRes'!BS21)))+AE66),6)</f>
        <v>58.1006</v>
      </c>
      <c r="AE66">
        <f>ROUND((SUM(SmtRes!BS18:'SmtRes'!BS21)),6)</f>
        <v>78.488</v>
      </c>
      <c r="AF66">
        <f>ROUND((SUM(SmtRes!BT18:'SmtRes'!BT21)),6)</f>
        <v>126.297</v>
      </c>
      <c r="AG66">
        <f t="shared" si="37"/>
        <v>0</v>
      </c>
      <c r="AH66">
        <f>(SUM(SmtRes!BU18:'SmtRes'!BU21))</f>
        <v>0.3</v>
      </c>
      <c r="AI66">
        <f>(SUM(SmtRes!BV18:'SmtRes'!BV21))</f>
        <v>0.16</v>
      </c>
      <c r="AJ66">
        <f t="shared" si="38"/>
        <v>0</v>
      </c>
      <c r="AK66">
        <v>131.44280000000001</v>
      </c>
      <c r="AL66">
        <v>0</v>
      </c>
      <c r="AM66">
        <v>29.050300000000004</v>
      </c>
      <c r="AN66">
        <v>39.244</v>
      </c>
      <c r="AO66">
        <v>63.148499999999999</v>
      </c>
      <c r="AP66">
        <v>0</v>
      </c>
      <c r="AQ66">
        <v>0.15</v>
      </c>
      <c r="AR66">
        <v>0.08</v>
      </c>
      <c r="AS66">
        <v>0</v>
      </c>
      <c r="AT66">
        <v>103</v>
      </c>
      <c r="AU66">
        <v>60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1</v>
      </c>
      <c r="BJ66" t="s">
        <v>99</v>
      </c>
      <c r="BM66">
        <v>33002</v>
      </c>
      <c r="BN66">
        <v>0</v>
      </c>
      <c r="BO66" t="s">
        <v>3</v>
      </c>
      <c r="BP66">
        <v>0</v>
      </c>
      <c r="BQ66">
        <v>2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103</v>
      </c>
      <c r="CA66">
        <v>60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 t="shared" si="39"/>
        <v>9035.75</v>
      </c>
      <c r="CQ66">
        <f>SUMIF(SmtRes!AQ18:'SmtRes'!AQ21,"=1",SmtRes!AA18:'SmtRes'!AA21)</f>
        <v>0</v>
      </c>
      <c r="CR66">
        <f>SUMIF(SmtRes!AQ18:'SmtRes'!AQ21,"=1",SmtRes!AB18:'SmtRes'!AB21)</f>
        <v>1049.83</v>
      </c>
      <c r="CS66">
        <f>SUMIF(SmtRes!AQ18:'SmtRes'!AQ21,"=1",SmtRes!AC18:'SmtRes'!AC21)</f>
        <v>981.1</v>
      </c>
      <c r="CT66">
        <f>SUMIF(SmtRes!AQ18:'SmtRes'!AQ21,"=1",SmtRes!AD18:'SmtRes'!AD21)</f>
        <v>420.99</v>
      </c>
      <c r="CU66">
        <f t="shared" si="40"/>
        <v>0</v>
      </c>
      <c r="CV66">
        <f>SUMIF(SmtRes!AQ18:'SmtRes'!AQ21,"=1",SmtRes!BU18:'SmtRes'!BU21)</f>
        <v>0.3</v>
      </c>
      <c r="CW66">
        <f>SUMIF(SmtRes!AQ18:'SmtRes'!AQ21,"=1",SmtRes!BV18:'SmtRes'!BV21)</f>
        <v>0.16</v>
      </c>
      <c r="CX66">
        <f t="shared" si="41"/>
        <v>0</v>
      </c>
      <c r="CY66">
        <f t="shared" si="42"/>
        <v>6749.7032999999992</v>
      </c>
      <c r="CZ66">
        <f t="shared" si="43"/>
        <v>3931.866</v>
      </c>
      <c r="DC66" t="s">
        <v>3</v>
      </c>
      <c r="DD66" t="s">
        <v>100</v>
      </c>
      <c r="DE66" t="s">
        <v>100</v>
      </c>
      <c r="DF66" t="s">
        <v>100</v>
      </c>
      <c r="DG66" t="s">
        <v>100</v>
      </c>
      <c r="DH66" t="s">
        <v>3</v>
      </c>
      <c r="DI66" t="s">
        <v>100</v>
      </c>
      <c r="DJ66" t="s">
        <v>100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77</v>
      </c>
      <c r="DW66" t="s">
        <v>77</v>
      </c>
      <c r="DX66">
        <v>1</v>
      </c>
      <c r="DZ66" t="s">
        <v>3</v>
      </c>
      <c r="EA66" t="s">
        <v>3</v>
      </c>
      <c r="EB66" t="s">
        <v>3</v>
      </c>
      <c r="EC66" t="s">
        <v>3</v>
      </c>
      <c r="EE66">
        <v>64851364</v>
      </c>
      <c r="EF66">
        <v>2</v>
      </c>
      <c r="EG66" t="s">
        <v>79</v>
      </c>
      <c r="EH66">
        <v>27</v>
      </c>
      <c r="EI66" t="s">
        <v>80</v>
      </c>
      <c r="EJ66">
        <v>1</v>
      </c>
      <c r="EK66">
        <v>33002</v>
      </c>
      <c r="EL66" t="s">
        <v>80</v>
      </c>
      <c r="EM66" t="s">
        <v>81</v>
      </c>
      <c r="EO66" t="s">
        <v>3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0.15</v>
      </c>
      <c r="EX66">
        <v>0.08</v>
      </c>
      <c r="EY66">
        <v>0</v>
      </c>
      <c r="FQ66">
        <v>0</v>
      </c>
      <c r="FR66">
        <f t="shared" si="44"/>
        <v>0</v>
      </c>
      <c r="FS66">
        <v>0</v>
      </c>
      <c r="FX66">
        <v>103</v>
      </c>
      <c r="FY66">
        <v>60</v>
      </c>
      <c r="GA66" t="s">
        <v>3</v>
      </c>
      <c r="GD66">
        <v>1</v>
      </c>
      <c r="GF66">
        <v>-1358867526</v>
      </c>
      <c r="GG66">
        <v>2</v>
      </c>
      <c r="GH66">
        <v>1</v>
      </c>
      <c r="GI66">
        <v>-2</v>
      </c>
      <c r="GJ66">
        <v>0</v>
      </c>
      <c r="GK66">
        <v>0</v>
      </c>
      <c r="GL66">
        <f t="shared" si="45"/>
        <v>0</v>
      </c>
      <c r="GM66">
        <f t="shared" si="46"/>
        <v>19717.32</v>
      </c>
      <c r="GN66">
        <f t="shared" si="47"/>
        <v>19717.32</v>
      </c>
      <c r="GO66">
        <f t="shared" si="48"/>
        <v>0</v>
      </c>
      <c r="GP66">
        <f t="shared" si="49"/>
        <v>0</v>
      </c>
      <c r="GR66">
        <v>0</v>
      </c>
      <c r="GS66">
        <v>3</v>
      </c>
      <c r="GT66">
        <v>0</v>
      </c>
      <c r="GU66" t="s">
        <v>3</v>
      </c>
      <c r="GV66">
        <f t="shared" si="50"/>
        <v>0</v>
      </c>
      <c r="GW66">
        <v>1</v>
      </c>
      <c r="GX66">
        <f t="shared" si="51"/>
        <v>0</v>
      </c>
      <c r="HA66">
        <v>0</v>
      </c>
      <c r="HB66">
        <v>0</v>
      </c>
      <c r="HC66">
        <f t="shared" si="52"/>
        <v>0</v>
      </c>
      <c r="HE66" t="s">
        <v>3</v>
      </c>
      <c r="HF66" t="s">
        <v>3</v>
      </c>
      <c r="HM66" t="s">
        <v>3</v>
      </c>
      <c r="HN66" t="s">
        <v>82</v>
      </c>
      <c r="HO66" t="s">
        <v>83</v>
      </c>
      <c r="HP66" t="s">
        <v>80</v>
      </c>
      <c r="HQ66" t="s">
        <v>80</v>
      </c>
      <c r="IK66">
        <v>0</v>
      </c>
    </row>
    <row r="67" spans="1:245" x14ac:dyDescent="0.2">
      <c r="A67">
        <v>17</v>
      </c>
      <c r="B67">
        <v>1</v>
      </c>
      <c r="C67">
        <f>ROW(SmtRes!A24)</f>
        <v>24</v>
      </c>
      <c r="D67">
        <f>ROW(EtalonRes!A24)</f>
        <v>24</v>
      </c>
      <c r="E67" t="s">
        <v>101</v>
      </c>
      <c r="F67" t="s">
        <v>102</v>
      </c>
      <c r="G67" t="s">
        <v>103</v>
      </c>
      <c r="H67" t="s">
        <v>104</v>
      </c>
      <c r="I67">
        <v>60</v>
      </c>
      <c r="J67">
        <v>0</v>
      </c>
      <c r="K67">
        <v>60</v>
      </c>
      <c r="O67">
        <f t="shared" si="30"/>
        <v>17198.169999999998</v>
      </c>
      <c r="P67">
        <f>SUMIF(SmtRes!AQ22:'SmtRes'!AQ24,"=1",SmtRes!DF22:'SmtRes'!DF24)</f>
        <v>0</v>
      </c>
      <c r="Q67">
        <f>SUMIF(SmtRes!AQ22:'SmtRes'!AQ24,"=1",SmtRes!DG22:'SmtRes'!DG24)</f>
        <v>1040.9000000000001</v>
      </c>
      <c r="R67">
        <f>SUMIF(SmtRes!AQ22:'SmtRes'!AQ24,"=1",SmtRes!DH22:'SmtRes'!DH24)</f>
        <v>882.99</v>
      </c>
      <c r="S67">
        <f>SUMIF(SmtRes!AQ22:'SmtRes'!AQ24,"=1",SmtRes!DI22:'SmtRes'!DI24)</f>
        <v>15274.28</v>
      </c>
      <c r="T67">
        <f t="shared" si="31"/>
        <v>0</v>
      </c>
      <c r="U67">
        <f>SUMIF(SmtRes!AQ22:'SmtRes'!AQ24,"=1",SmtRes!CV22:'SmtRes'!CV24)</f>
        <v>36.6</v>
      </c>
      <c r="V67">
        <f>SUMIF(SmtRes!AQ22:'SmtRes'!AQ24,"=1",SmtRes!CW22:'SmtRes'!CW24)</f>
        <v>1.8</v>
      </c>
      <c r="W67">
        <f t="shared" si="32"/>
        <v>0</v>
      </c>
      <c r="X67">
        <f t="shared" si="33"/>
        <v>16641.990000000002</v>
      </c>
      <c r="Y67">
        <f t="shared" si="34"/>
        <v>9694.36</v>
      </c>
      <c r="AA67">
        <v>65178645</v>
      </c>
      <c r="AB67">
        <f t="shared" si="35"/>
        <v>268.90890000000002</v>
      </c>
      <c r="AC67">
        <f t="shared" si="36"/>
        <v>0</v>
      </c>
      <c r="AD67">
        <f>ROUND((((SUM(SmtRes!BR22:'SmtRes'!BR24))-(SUM(SmtRes!BS22:'SmtRes'!BS24)))+AE67),6)</f>
        <v>14.3376</v>
      </c>
      <c r="AE67">
        <f>ROUND((SUM(SmtRes!BS22:'SmtRes'!BS24)),6)</f>
        <v>14.7165</v>
      </c>
      <c r="AF67">
        <f>ROUND((SUM(SmtRes!BT22:'SmtRes'!BT24)),6)</f>
        <v>254.57130000000001</v>
      </c>
      <c r="AG67">
        <f t="shared" si="37"/>
        <v>0</v>
      </c>
      <c r="AH67">
        <f>(SUM(SmtRes!BU22:'SmtRes'!BU24))</f>
        <v>0.61</v>
      </c>
      <c r="AI67">
        <f>(SUM(SmtRes!BV22:'SmtRes'!BV24))</f>
        <v>0.03</v>
      </c>
      <c r="AJ67">
        <f t="shared" si="38"/>
        <v>0</v>
      </c>
      <c r="AK67">
        <v>283.62539999999996</v>
      </c>
      <c r="AL67">
        <v>0</v>
      </c>
      <c r="AM67">
        <v>14.3376</v>
      </c>
      <c r="AN67">
        <v>14.7165</v>
      </c>
      <c r="AO67">
        <v>254.57129999999998</v>
      </c>
      <c r="AP67">
        <v>0</v>
      </c>
      <c r="AQ67">
        <v>0.61</v>
      </c>
      <c r="AR67">
        <v>0.03</v>
      </c>
      <c r="AS67">
        <v>0</v>
      </c>
      <c r="AT67">
        <v>103</v>
      </c>
      <c r="AU67">
        <v>60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1</v>
      </c>
      <c r="BJ67" t="s">
        <v>105</v>
      </c>
      <c r="BM67">
        <v>33001</v>
      </c>
      <c r="BN67">
        <v>0</v>
      </c>
      <c r="BO67" t="s">
        <v>3</v>
      </c>
      <c r="BP67">
        <v>0</v>
      </c>
      <c r="BQ67">
        <v>2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103</v>
      </c>
      <c r="CA67">
        <v>60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 t="shared" si="39"/>
        <v>17198.170000000002</v>
      </c>
      <c r="CQ67">
        <f>SUMIF(SmtRes!AQ22:'SmtRes'!AQ24,"=1",SmtRes!AA22:'SmtRes'!AA24)</f>
        <v>0</v>
      </c>
      <c r="CR67">
        <f>SUMIF(SmtRes!AQ22:'SmtRes'!AQ24,"=1",SmtRes!AB22:'SmtRes'!AB24)</f>
        <v>578.28</v>
      </c>
      <c r="CS67">
        <f>SUMIF(SmtRes!AQ22:'SmtRes'!AQ24,"=1",SmtRes!AC22:'SmtRes'!AC24)</f>
        <v>490.55</v>
      </c>
      <c r="CT67">
        <f>SUMIF(SmtRes!AQ22:'SmtRes'!AQ24,"=1",SmtRes!AD22:'SmtRes'!AD24)</f>
        <v>417.33</v>
      </c>
      <c r="CU67">
        <f t="shared" si="40"/>
        <v>0</v>
      </c>
      <c r="CV67">
        <f>SUMIF(SmtRes!AQ22:'SmtRes'!AQ24,"=1",SmtRes!BU22:'SmtRes'!BU24)</f>
        <v>0.61</v>
      </c>
      <c r="CW67">
        <f>SUMIF(SmtRes!AQ22:'SmtRes'!AQ24,"=1",SmtRes!BV22:'SmtRes'!BV24)</f>
        <v>0.03</v>
      </c>
      <c r="CX67">
        <f t="shared" si="41"/>
        <v>0</v>
      </c>
      <c r="CY67">
        <f t="shared" si="42"/>
        <v>16641.988100000002</v>
      </c>
      <c r="CZ67">
        <f t="shared" si="43"/>
        <v>9694.362000000001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1013</v>
      </c>
      <c r="DV67" t="s">
        <v>104</v>
      </c>
      <c r="DW67" t="s">
        <v>104</v>
      </c>
      <c r="DX67">
        <v>1</v>
      </c>
      <c r="DZ67" t="s">
        <v>3</v>
      </c>
      <c r="EA67" t="s">
        <v>3</v>
      </c>
      <c r="EB67" t="s">
        <v>3</v>
      </c>
      <c r="EC67" t="s">
        <v>3</v>
      </c>
      <c r="EE67">
        <v>64851056</v>
      </c>
      <c r="EF67">
        <v>2</v>
      </c>
      <c r="EG67" t="s">
        <v>79</v>
      </c>
      <c r="EH67">
        <v>27</v>
      </c>
      <c r="EI67" t="s">
        <v>80</v>
      </c>
      <c r="EJ67">
        <v>1</v>
      </c>
      <c r="EK67">
        <v>33001</v>
      </c>
      <c r="EL67" t="s">
        <v>80</v>
      </c>
      <c r="EM67" t="s">
        <v>81</v>
      </c>
      <c r="EO67" t="s">
        <v>3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0.61</v>
      </c>
      <c r="EX67">
        <v>0.03</v>
      </c>
      <c r="EY67">
        <v>0</v>
      </c>
      <c r="FQ67">
        <v>0</v>
      </c>
      <c r="FR67">
        <f t="shared" si="44"/>
        <v>0</v>
      </c>
      <c r="FS67">
        <v>0</v>
      </c>
      <c r="FX67">
        <v>103</v>
      </c>
      <c r="FY67">
        <v>60</v>
      </c>
      <c r="GA67" t="s">
        <v>3</v>
      </c>
      <c r="GD67">
        <v>1</v>
      </c>
      <c r="GF67">
        <v>-1340825170</v>
      </c>
      <c r="GG67">
        <v>2</v>
      </c>
      <c r="GH67">
        <v>1</v>
      </c>
      <c r="GI67">
        <v>-2</v>
      </c>
      <c r="GJ67">
        <v>0</v>
      </c>
      <c r="GK67">
        <v>0</v>
      </c>
      <c r="GL67">
        <f t="shared" si="45"/>
        <v>0</v>
      </c>
      <c r="GM67">
        <f t="shared" si="46"/>
        <v>43534.52</v>
      </c>
      <c r="GN67">
        <f t="shared" si="47"/>
        <v>43534.52</v>
      </c>
      <c r="GO67">
        <f t="shared" si="48"/>
        <v>0</v>
      </c>
      <c r="GP67">
        <f t="shared" si="49"/>
        <v>0</v>
      </c>
      <c r="GR67">
        <v>0</v>
      </c>
      <c r="GS67">
        <v>3</v>
      </c>
      <c r="GT67">
        <v>0</v>
      </c>
      <c r="GU67" t="s">
        <v>3</v>
      </c>
      <c r="GV67">
        <f t="shared" si="50"/>
        <v>0</v>
      </c>
      <c r="GW67">
        <v>1</v>
      </c>
      <c r="GX67">
        <f t="shared" si="51"/>
        <v>0</v>
      </c>
      <c r="HA67">
        <v>0</v>
      </c>
      <c r="HB67">
        <v>0</v>
      </c>
      <c r="HC67">
        <f t="shared" si="52"/>
        <v>0</v>
      </c>
      <c r="HE67" t="s">
        <v>3</v>
      </c>
      <c r="HF67" t="s">
        <v>3</v>
      </c>
      <c r="HM67" t="s">
        <v>3</v>
      </c>
      <c r="HN67" t="s">
        <v>82</v>
      </c>
      <c r="HO67" t="s">
        <v>83</v>
      </c>
      <c r="HP67" t="s">
        <v>80</v>
      </c>
      <c r="HQ67" t="s">
        <v>80</v>
      </c>
      <c r="IK67">
        <v>0</v>
      </c>
    </row>
    <row r="68" spans="1:245" x14ac:dyDescent="0.2">
      <c r="A68">
        <v>17</v>
      </c>
      <c r="B68">
        <v>1</v>
      </c>
      <c r="C68">
        <f>ROW(SmtRes!A28)</f>
        <v>28</v>
      </c>
      <c r="D68">
        <f>ROW(EtalonRes!A28)</f>
        <v>28</v>
      </c>
      <c r="E68" t="s">
        <v>106</v>
      </c>
      <c r="F68" t="s">
        <v>107</v>
      </c>
      <c r="G68" t="s">
        <v>108</v>
      </c>
      <c r="H68" t="s">
        <v>77</v>
      </c>
      <c r="I68">
        <v>64</v>
      </c>
      <c r="J68">
        <v>0</v>
      </c>
      <c r="K68">
        <v>64</v>
      </c>
      <c r="O68">
        <f t="shared" si="30"/>
        <v>9514.0400000000009</v>
      </c>
      <c r="P68">
        <f>SUMIF(SmtRes!AQ25:'SmtRes'!AQ28,"=1",SmtRes!DF25:'SmtRes'!DF28)</f>
        <v>0</v>
      </c>
      <c r="Q68">
        <f>SUMIF(SmtRes!AQ25:'SmtRes'!AQ28,"=1",SmtRes!DG25:'SmtRes'!DG28)</f>
        <v>4467.43</v>
      </c>
      <c r="R68">
        <f>SUMIF(SmtRes!AQ25:'SmtRes'!AQ28,"=1",SmtRes!DH25:'SmtRes'!DH28)</f>
        <v>1897.75</v>
      </c>
      <c r="S68">
        <f>SUMIF(SmtRes!AQ25:'SmtRes'!AQ28,"=1",SmtRes!DI25:'SmtRes'!DI28)</f>
        <v>3148.86</v>
      </c>
      <c r="T68">
        <f t="shared" si="31"/>
        <v>0</v>
      </c>
      <c r="U68">
        <f>SUMIF(SmtRes!AQ25:'SmtRes'!AQ28,"=1",SmtRes!CV25:'SmtRes'!CV28)</f>
        <v>6.72</v>
      </c>
      <c r="V68">
        <f>SUMIF(SmtRes!AQ25:'SmtRes'!AQ28,"=1",SmtRes!CW25:'SmtRes'!CW28)</f>
        <v>2.88</v>
      </c>
      <c r="W68">
        <f t="shared" si="32"/>
        <v>0</v>
      </c>
      <c r="X68">
        <f t="shared" si="33"/>
        <v>4895.21</v>
      </c>
      <c r="Y68">
        <f t="shared" si="34"/>
        <v>2573.77</v>
      </c>
      <c r="AA68">
        <v>65178645</v>
      </c>
      <c r="AB68">
        <f t="shared" si="35"/>
        <v>119.00445000000001</v>
      </c>
      <c r="AC68">
        <f t="shared" si="36"/>
        <v>0</v>
      </c>
      <c r="AD68">
        <f>ROUND((((SUM(SmtRes!BR25:'SmtRes'!BR28))-(SUM(SmtRes!BS25:'SmtRes'!BS28)))+AE68),6)</f>
        <v>69.803550000000001</v>
      </c>
      <c r="AE68">
        <f>ROUND((SUM(SmtRes!BS25:'SmtRes'!BS28)),6)</f>
        <v>29.6523</v>
      </c>
      <c r="AF68">
        <f>ROUND((SUM(SmtRes!BT25:'SmtRes'!BT28)),6)</f>
        <v>49.200899999999997</v>
      </c>
      <c r="AG68">
        <f t="shared" si="37"/>
        <v>0</v>
      </c>
      <c r="AH68">
        <f>(SUM(SmtRes!BU25:'SmtRes'!BU28))</f>
        <v>0.105</v>
      </c>
      <c r="AI68">
        <f>(SUM(SmtRes!BV25:'SmtRes'!BV28))</f>
        <v>4.4999999999999998E-2</v>
      </c>
      <c r="AJ68">
        <f t="shared" si="38"/>
        <v>0</v>
      </c>
      <c r="AK68">
        <v>495.52249999999998</v>
      </c>
      <c r="AL68">
        <v>0</v>
      </c>
      <c r="AM68">
        <v>232.67849999999999</v>
      </c>
      <c r="AN68">
        <v>98.841000000000008</v>
      </c>
      <c r="AO68">
        <v>164.00299999999999</v>
      </c>
      <c r="AP68">
        <v>0</v>
      </c>
      <c r="AQ68">
        <v>0.35</v>
      </c>
      <c r="AR68">
        <v>0.15</v>
      </c>
      <c r="AS68">
        <v>0</v>
      </c>
      <c r="AT68">
        <v>97</v>
      </c>
      <c r="AU68">
        <v>51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2</v>
      </c>
      <c r="BJ68" t="s">
        <v>109</v>
      </c>
      <c r="BM68">
        <v>108001</v>
      </c>
      <c r="BN68">
        <v>0</v>
      </c>
      <c r="BO68" t="s">
        <v>3</v>
      </c>
      <c r="BP68">
        <v>0</v>
      </c>
      <c r="BQ68">
        <v>3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97</v>
      </c>
      <c r="CA68">
        <v>51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110</v>
      </c>
      <c r="CO68">
        <v>0</v>
      </c>
      <c r="CP68">
        <f t="shared" si="39"/>
        <v>9514.0400000000009</v>
      </c>
      <c r="CQ68">
        <f>SUMIF(SmtRes!AQ25:'SmtRes'!AQ28,"=1",SmtRes!AA25:'SmtRes'!AA28)</f>
        <v>0</v>
      </c>
      <c r="CR68">
        <f>SUMIF(SmtRes!AQ25:'SmtRes'!AQ28,"=1",SmtRes!AB25:'SmtRes'!AB28)</f>
        <v>1551.19</v>
      </c>
      <c r="CS68">
        <f>SUMIF(SmtRes!AQ25:'SmtRes'!AQ28,"=1",SmtRes!AC25:'SmtRes'!AC28)</f>
        <v>658.94</v>
      </c>
      <c r="CT68">
        <f>SUMIF(SmtRes!AQ25:'SmtRes'!AQ28,"=1",SmtRes!AD25:'SmtRes'!AD28)</f>
        <v>468.58</v>
      </c>
      <c r="CU68">
        <f t="shared" si="40"/>
        <v>0</v>
      </c>
      <c r="CV68">
        <f>SUMIF(SmtRes!AQ25:'SmtRes'!AQ28,"=1",SmtRes!BU25:'SmtRes'!BU28)</f>
        <v>0.105</v>
      </c>
      <c r="CW68">
        <f>SUMIF(SmtRes!AQ25:'SmtRes'!AQ28,"=1",SmtRes!BV25:'SmtRes'!BV28)</f>
        <v>4.4999999999999998E-2</v>
      </c>
      <c r="CX68">
        <f t="shared" si="41"/>
        <v>0</v>
      </c>
      <c r="CY68">
        <f t="shared" si="42"/>
        <v>4895.2117000000007</v>
      </c>
      <c r="CZ68">
        <f t="shared" si="43"/>
        <v>2573.7711000000004</v>
      </c>
      <c r="DB68">
        <v>1</v>
      </c>
      <c r="DC68" t="s">
        <v>3</v>
      </c>
      <c r="DD68" t="s">
        <v>111</v>
      </c>
      <c r="DE68" t="s">
        <v>112</v>
      </c>
      <c r="DF68" t="s">
        <v>112</v>
      </c>
      <c r="DG68" t="s">
        <v>112</v>
      </c>
      <c r="DH68" t="s">
        <v>3</v>
      </c>
      <c r="DI68" t="s">
        <v>112</v>
      </c>
      <c r="DJ68" t="s">
        <v>112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1013</v>
      </c>
      <c r="DV68" t="s">
        <v>77</v>
      </c>
      <c r="DW68" t="s">
        <v>77</v>
      </c>
      <c r="DX68">
        <v>1</v>
      </c>
      <c r="DZ68" t="s">
        <v>3</v>
      </c>
      <c r="EA68" t="s">
        <v>3</v>
      </c>
      <c r="EB68" t="s">
        <v>3</v>
      </c>
      <c r="EC68" t="s">
        <v>3</v>
      </c>
      <c r="EE68">
        <v>64850885</v>
      </c>
      <c r="EF68">
        <v>3</v>
      </c>
      <c r="EG68" t="s">
        <v>113</v>
      </c>
      <c r="EH68">
        <v>0</v>
      </c>
      <c r="EI68" t="s">
        <v>3</v>
      </c>
      <c r="EJ68">
        <v>2</v>
      </c>
      <c r="EK68">
        <v>108001</v>
      </c>
      <c r="EL68" t="s">
        <v>114</v>
      </c>
      <c r="EM68" t="s">
        <v>115</v>
      </c>
      <c r="EO68" t="s">
        <v>116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0.35</v>
      </c>
      <c r="EX68">
        <v>0.15</v>
      </c>
      <c r="EY68">
        <v>0</v>
      </c>
      <c r="FQ68">
        <v>0</v>
      </c>
      <c r="FR68">
        <f t="shared" si="44"/>
        <v>0</v>
      </c>
      <c r="FS68">
        <v>0</v>
      </c>
      <c r="FX68">
        <v>97</v>
      </c>
      <c r="FY68">
        <v>51</v>
      </c>
      <c r="GA68" t="s">
        <v>3</v>
      </c>
      <c r="GD68">
        <v>1</v>
      </c>
      <c r="GF68">
        <v>-408398938</v>
      </c>
      <c r="GG68">
        <v>2</v>
      </c>
      <c r="GH68">
        <v>1</v>
      </c>
      <c r="GI68">
        <v>-2</v>
      </c>
      <c r="GJ68">
        <v>0</v>
      </c>
      <c r="GK68">
        <v>0</v>
      </c>
      <c r="GL68">
        <f t="shared" si="45"/>
        <v>0</v>
      </c>
      <c r="GM68">
        <f t="shared" si="46"/>
        <v>16983.02</v>
      </c>
      <c r="GN68">
        <f t="shared" si="47"/>
        <v>0</v>
      </c>
      <c r="GO68">
        <f t="shared" si="48"/>
        <v>16983.02</v>
      </c>
      <c r="GP68">
        <f t="shared" si="49"/>
        <v>0</v>
      </c>
      <c r="GR68">
        <v>0</v>
      </c>
      <c r="GS68">
        <v>0</v>
      </c>
      <c r="GT68">
        <v>0</v>
      </c>
      <c r="GU68" t="s">
        <v>3</v>
      </c>
      <c r="GV68">
        <f t="shared" si="50"/>
        <v>0</v>
      </c>
      <c r="GW68">
        <v>1</v>
      </c>
      <c r="GX68">
        <f t="shared" si="51"/>
        <v>0</v>
      </c>
      <c r="HA68">
        <v>0</v>
      </c>
      <c r="HB68">
        <v>0</v>
      </c>
      <c r="HC68">
        <f t="shared" si="52"/>
        <v>0</v>
      </c>
      <c r="HE68" t="s">
        <v>3</v>
      </c>
      <c r="HF68" t="s">
        <v>3</v>
      </c>
      <c r="HM68" t="s">
        <v>3</v>
      </c>
      <c r="HN68" t="s">
        <v>117</v>
      </c>
      <c r="HO68" t="s">
        <v>118</v>
      </c>
      <c r="HP68" t="s">
        <v>114</v>
      </c>
      <c r="HQ68" t="s">
        <v>114</v>
      </c>
      <c r="IK68">
        <v>0</v>
      </c>
    </row>
    <row r="69" spans="1:245" x14ac:dyDescent="0.2">
      <c r="A69">
        <v>17</v>
      </c>
      <c r="B69">
        <v>1</v>
      </c>
      <c r="C69">
        <f>ROW(SmtRes!A34)</f>
        <v>34</v>
      </c>
      <c r="D69">
        <f>ROW(EtalonRes!A34)</f>
        <v>34</v>
      </c>
      <c r="E69" t="s">
        <v>119</v>
      </c>
      <c r="F69" t="s">
        <v>120</v>
      </c>
      <c r="G69" t="s">
        <v>121</v>
      </c>
      <c r="H69" t="s">
        <v>77</v>
      </c>
      <c r="I69">
        <v>192</v>
      </c>
      <c r="J69">
        <v>0</v>
      </c>
      <c r="K69">
        <v>192</v>
      </c>
      <c r="O69">
        <f t="shared" si="30"/>
        <v>12624.34</v>
      </c>
      <c r="P69">
        <f>SUMIF(SmtRes!AQ29:'SmtRes'!AQ34,"=1",SmtRes!DF29:'SmtRes'!DF34)</f>
        <v>0</v>
      </c>
      <c r="Q69">
        <f>SUMIF(SmtRes!AQ29:'SmtRes'!AQ34,"=1",SmtRes!DG29:'SmtRes'!DG34)</f>
        <v>858.6</v>
      </c>
      <c r="R69">
        <f>SUMIF(SmtRes!AQ29:'SmtRes'!AQ34,"=1",SmtRes!DH29:'SmtRes'!DH34)</f>
        <v>463.47</v>
      </c>
      <c r="S69">
        <f>SUMIF(SmtRes!AQ29:'SmtRes'!AQ34,"=1",SmtRes!DI29:'SmtRes'!DI34)</f>
        <v>11302.27</v>
      </c>
      <c r="T69">
        <f t="shared" si="31"/>
        <v>0</v>
      </c>
      <c r="U69">
        <f>SUMIF(SmtRes!AQ29:'SmtRes'!AQ34,"=1",SmtRes!CV29:'SmtRes'!CV34)</f>
        <v>23.04</v>
      </c>
      <c r="V69">
        <f>SUMIF(SmtRes!AQ29:'SmtRes'!AQ34,"=1",SmtRes!CW29:'SmtRes'!CW34)</f>
        <v>0.80640000000000001</v>
      </c>
      <c r="W69">
        <f t="shared" si="32"/>
        <v>0</v>
      </c>
      <c r="X69">
        <f t="shared" si="33"/>
        <v>11412.77</v>
      </c>
      <c r="Y69">
        <f t="shared" si="34"/>
        <v>6000.53</v>
      </c>
      <c r="AA69">
        <v>65178645</v>
      </c>
      <c r="AB69">
        <f t="shared" si="35"/>
        <v>63.127130999999999</v>
      </c>
      <c r="AC69">
        <f t="shared" si="36"/>
        <v>0</v>
      </c>
      <c r="AD69">
        <f>ROUND((((SUM(SmtRes!BR29:'SmtRes'!BR34))-(SUM(SmtRes!BS29:'SmtRes'!BS34)))+AE69),6)</f>
        <v>4.2611309999999998</v>
      </c>
      <c r="AE69">
        <f>ROUND((SUM(SmtRes!BS29:'SmtRes'!BS34)),6)</f>
        <v>2.413929</v>
      </c>
      <c r="AF69">
        <f>ROUND((SUM(SmtRes!BT29:'SmtRes'!BT34)),6)</f>
        <v>58.866</v>
      </c>
      <c r="AG69">
        <f t="shared" si="37"/>
        <v>0</v>
      </c>
      <c r="AH69">
        <f>(SUM(SmtRes!BU29:'SmtRes'!BU34))</f>
        <v>0.12</v>
      </c>
      <c r="AI69">
        <f>(SUM(SmtRes!BV29:'SmtRes'!BV34))</f>
        <v>4.1999999999999997E-3</v>
      </c>
      <c r="AJ69">
        <f t="shared" si="38"/>
        <v>0</v>
      </c>
      <c r="AK69">
        <v>232.46460000000002</v>
      </c>
      <c r="AL69">
        <v>13.994400000000001</v>
      </c>
      <c r="AM69">
        <v>14.20377</v>
      </c>
      <c r="AN69">
        <v>8.0464300000000009</v>
      </c>
      <c r="AO69">
        <v>196.22000000000003</v>
      </c>
      <c r="AP69">
        <v>0</v>
      </c>
      <c r="AQ69">
        <v>0.4</v>
      </c>
      <c r="AR69">
        <v>1.4E-2</v>
      </c>
      <c r="AS69">
        <v>0</v>
      </c>
      <c r="AT69">
        <v>97</v>
      </c>
      <c r="AU69">
        <v>51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2</v>
      </c>
      <c r="BJ69" t="s">
        <v>122</v>
      </c>
      <c r="BM69">
        <v>108001</v>
      </c>
      <c r="BN69">
        <v>0</v>
      </c>
      <c r="BO69" t="s">
        <v>3</v>
      </c>
      <c r="BP69">
        <v>0</v>
      </c>
      <c r="BQ69">
        <v>3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97</v>
      </c>
      <c r="CA69">
        <v>51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110</v>
      </c>
      <c r="CO69">
        <v>0</v>
      </c>
      <c r="CP69">
        <f t="shared" si="39"/>
        <v>12624.34</v>
      </c>
      <c r="CQ69">
        <f>SUMIF(SmtRes!AQ29:'SmtRes'!AQ34,"=1",SmtRes!AA29:'SmtRes'!AA34)</f>
        <v>201.17</v>
      </c>
      <c r="CR69">
        <f>SUMIF(SmtRes!AQ29:'SmtRes'!AQ34,"=1",SmtRes!AB29:'SmtRes'!AB34)</f>
        <v>2129.4700000000003</v>
      </c>
      <c r="CS69">
        <f>SUMIF(SmtRes!AQ29:'SmtRes'!AQ34,"=1",SmtRes!AC29:'SmtRes'!AC34)</f>
        <v>1149.49</v>
      </c>
      <c r="CT69">
        <f>SUMIF(SmtRes!AQ29:'SmtRes'!AQ34,"=1",SmtRes!AD29:'SmtRes'!AD34)</f>
        <v>490.55</v>
      </c>
      <c r="CU69">
        <f t="shared" si="40"/>
        <v>0</v>
      </c>
      <c r="CV69">
        <f>SUMIF(SmtRes!AQ29:'SmtRes'!AQ34,"=1",SmtRes!BU29:'SmtRes'!BU34)</f>
        <v>0.12</v>
      </c>
      <c r="CW69">
        <f>SUMIF(SmtRes!AQ29:'SmtRes'!AQ34,"=1",SmtRes!BV29:'SmtRes'!BV34)</f>
        <v>4.1999999999999997E-3</v>
      </c>
      <c r="CX69">
        <f t="shared" si="41"/>
        <v>0</v>
      </c>
      <c r="CY69">
        <f t="shared" si="42"/>
        <v>11412.7678</v>
      </c>
      <c r="CZ69">
        <f t="shared" si="43"/>
        <v>6000.5273999999999</v>
      </c>
      <c r="DB69">
        <v>2</v>
      </c>
      <c r="DC69" t="s">
        <v>3</v>
      </c>
      <c r="DD69" t="s">
        <v>111</v>
      </c>
      <c r="DE69" t="s">
        <v>112</v>
      </c>
      <c r="DF69" t="s">
        <v>112</v>
      </c>
      <c r="DG69" t="s">
        <v>112</v>
      </c>
      <c r="DH69" t="s">
        <v>3</v>
      </c>
      <c r="DI69" t="s">
        <v>112</v>
      </c>
      <c r="DJ69" t="s">
        <v>112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77</v>
      </c>
      <c r="DW69" t="s">
        <v>77</v>
      </c>
      <c r="DX69">
        <v>1</v>
      </c>
      <c r="DZ69" t="s">
        <v>3</v>
      </c>
      <c r="EA69" t="s">
        <v>3</v>
      </c>
      <c r="EB69" t="s">
        <v>3</v>
      </c>
      <c r="EC69" t="s">
        <v>3</v>
      </c>
      <c r="EE69">
        <v>64850885</v>
      </c>
      <c r="EF69">
        <v>3</v>
      </c>
      <c r="EG69" t="s">
        <v>113</v>
      </c>
      <c r="EH69">
        <v>0</v>
      </c>
      <c r="EI69" t="s">
        <v>3</v>
      </c>
      <c r="EJ69">
        <v>2</v>
      </c>
      <c r="EK69">
        <v>108001</v>
      </c>
      <c r="EL69" t="s">
        <v>114</v>
      </c>
      <c r="EM69" t="s">
        <v>115</v>
      </c>
      <c r="EO69" t="s">
        <v>116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0.4</v>
      </c>
      <c r="EX69">
        <v>0.01</v>
      </c>
      <c r="EY69">
        <v>0</v>
      </c>
      <c r="FQ69">
        <v>0</v>
      </c>
      <c r="FR69">
        <f t="shared" si="44"/>
        <v>0</v>
      </c>
      <c r="FS69">
        <v>0</v>
      </c>
      <c r="FX69">
        <v>97</v>
      </c>
      <c r="FY69">
        <v>51</v>
      </c>
      <c r="GA69" t="s">
        <v>3</v>
      </c>
      <c r="GD69">
        <v>1</v>
      </c>
      <c r="GF69">
        <v>604097301</v>
      </c>
      <c r="GG69">
        <v>2</v>
      </c>
      <c r="GH69">
        <v>1</v>
      </c>
      <c r="GI69">
        <v>-2</v>
      </c>
      <c r="GJ69">
        <v>0</v>
      </c>
      <c r="GK69">
        <v>0</v>
      </c>
      <c r="GL69">
        <f t="shared" si="45"/>
        <v>0</v>
      </c>
      <c r="GM69">
        <f t="shared" si="46"/>
        <v>30037.64</v>
      </c>
      <c r="GN69">
        <f t="shared" si="47"/>
        <v>0</v>
      </c>
      <c r="GO69">
        <f t="shared" si="48"/>
        <v>30037.64</v>
      </c>
      <c r="GP69">
        <f t="shared" si="49"/>
        <v>0</v>
      </c>
      <c r="GR69">
        <v>0</v>
      </c>
      <c r="GS69">
        <v>0</v>
      </c>
      <c r="GT69">
        <v>0</v>
      </c>
      <c r="GU69" t="s">
        <v>3</v>
      </c>
      <c r="GV69">
        <f t="shared" si="50"/>
        <v>0</v>
      </c>
      <c r="GW69">
        <v>1</v>
      </c>
      <c r="GX69">
        <f t="shared" si="51"/>
        <v>0</v>
      </c>
      <c r="HA69">
        <v>0</v>
      </c>
      <c r="HB69">
        <v>0</v>
      </c>
      <c r="HC69">
        <f t="shared" si="52"/>
        <v>0</v>
      </c>
      <c r="HE69" t="s">
        <v>3</v>
      </c>
      <c r="HF69" t="s">
        <v>3</v>
      </c>
      <c r="HM69" t="s">
        <v>3</v>
      </c>
      <c r="HN69" t="s">
        <v>117</v>
      </c>
      <c r="HO69" t="s">
        <v>118</v>
      </c>
      <c r="HP69" t="s">
        <v>114</v>
      </c>
      <c r="HQ69" t="s">
        <v>114</v>
      </c>
      <c r="IK69">
        <v>0</v>
      </c>
    </row>
    <row r="70" spans="1:245" x14ac:dyDescent="0.2">
      <c r="A70">
        <v>17</v>
      </c>
      <c r="B70">
        <v>1</v>
      </c>
      <c r="C70">
        <f>ROW(SmtRes!A45)</f>
        <v>45</v>
      </c>
      <c r="D70">
        <f>ROW(EtalonRes!A45)</f>
        <v>45</v>
      </c>
      <c r="E70" t="s">
        <v>123</v>
      </c>
      <c r="F70" t="s">
        <v>124</v>
      </c>
      <c r="G70" t="s">
        <v>125</v>
      </c>
      <c r="H70" t="s">
        <v>77</v>
      </c>
      <c r="I70">
        <v>1</v>
      </c>
      <c r="J70">
        <v>0</v>
      </c>
      <c r="K70">
        <v>1</v>
      </c>
      <c r="O70">
        <f t="shared" si="30"/>
        <v>3656.55</v>
      </c>
      <c r="P70">
        <f>SUMIF(SmtRes!AQ35:'SmtRes'!AQ45,"=1",SmtRes!DF35:'SmtRes'!DF45)</f>
        <v>0</v>
      </c>
      <c r="Q70">
        <f>SUMIF(SmtRes!AQ35:'SmtRes'!AQ45,"=1",SmtRes!DG35:'SmtRes'!DG45)</f>
        <v>2235.0300000000002</v>
      </c>
      <c r="R70">
        <f>SUMIF(SmtRes!AQ35:'SmtRes'!AQ45,"=1",SmtRes!DH35:'SmtRes'!DH45)</f>
        <v>736.85</v>
      </c>
      <c r="S70">
        <f>SUMIF(SmtRes!AQ35:'SmtRes'!AQ45,"=1",SmtRes!DI35:'SmtRes'!DI45)</f>
        <v>684.67</v>
      </c>
      <c r="T70">
        <f t="shared" si="31"/>
        <v>0</v>
      </c>
      <c r="U70">
        <f>SUMIF(SmtRes!AQ35:'SmtRes'!AQ45,"=1",SmtRes!CV35:'SmtRes'!CV45)</f>
        <v>1.2809999999999999</v>
      </c>
      <c r="V70">
        <f>SUMIF(SmtRes!AQ35:'SmtRes'!AQ45,"=1",SmtRes!CW35:'SmtRes'!CW45)</f>
        <v>1.1189999999999998</v>
      </c>
      <c r="W70">
        <f t="shared" si="32"/>
        <v>0</v>
      </c>
      <c r="X70">
        <f t="shared" si="33"/>
        <v>1378.87</v>
      </c>
      <c r="Y70">
        <f t="shared" si="34"/>
        <v>724.98</v>
      </c>
      <c r="AA70">
        <v>65178645</v>
      </c>
      <c r="AB70">
        <f t="shared" si="35"/>
        <v>2329.4706299999998</v>
      </c>
      <c r="AC70">
        <f t="shared" si="36"/>
        <v>0</v>
      </c>
      <c r="AD70">
        <f>ROUND((((SUM(SmtRes!BR35:'SmtRes'!BR45))-(SUM(SmtRes!BS35:'SmtRes'!BS45)))+AE70),6)</f>
        <v>1644.8017500000001</v>
      </c>
      <c r="AE70">
        <f>ROUND((SUM(SmtRes!BS35:'SmtRes'!BS45)),6)</f>
        <v>736.84869000000003</v>
      </c>
      <c r="AF70">
        <f>ROUND((SUM(SmtRes!BT35:'SmtRes'!BT45)),6)</f>
        <v>684.66887999999994</v>
      </c>
      <c r="AG70">
        <f t="shared" si="37"/>
        <v>0</v>
      </c>
      <c r="AH70">
        <f>(SUM(SmtRes!BU35:'SmtRes'!BU45))</f>
        <v>1.2809999999999999</v>
      </c>
      <c r="AI70">
        <f>(SUM(SmtRes!BV35:'SmtRes'!BV45))</f>
        <v>1.1189999999999998</v>
      </c>
      <c r="AJ70">
        <f t="shared" si="38"/>
        <v>0</v>
      </c>
      <c r="AK70">
        <v>10280.4178828</v>
      </c>
      <c r="AL70">
        <v>59.353482800000002</v>
      </c>
      <c r="AM70">
        <v>5482.6724999999997</v>
      </c>
      <c r="AN70">
        <v>2456.1623</v>
      </c>
      <c r="AO70">
        <v>2282.2295999999997</v>
      </c>
      <c r="AP70">
        <v>0</v>
      </c>
      <c r="AQ70">
        <v>4.2699999999999996</v>
      </c>
      <c r="AR70">
        <v>3.7299999999999995</v>
      </c>
      <c r="AS70">
        <v>0</v>
      </c>
      <c r="AT70">
        <v>97</v>
      </c>
      <c r="AU70">
        <v>51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2</v>
      </c>
      <c r="BJ70" t="s">
        <v>126</v>
      </c>
      <c r="BM70">
        <v>108001</v>
      </c>
      <c r="BN70">
        <v>0</v>
      </c>
      <c r="BO70" t="s">
        <v>3</v>
      </c>
      <c r="BP70">
        <v>0</v>
      </c>
      <c r="BQ70">
        <v>3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97</v>
      </c>
      <c r="CA70">
        <v>51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110</v>
      </c>
      <c r="CO70">
        <v>0</v>
      </c>
      <c r="CP70">
        <f t="shared" si="39"/>
        <v>3656.55</v>
      </c>
      <c r="CQ70">
        <f>SUMIF(SmtRes!AQ35:'SmtRes'!AQ45,"=1",SmtRes!AA35:'SmtRes'!AA45)</f>
        <v>105332.91</v>
      </c>
      <c r="CR70">
        <f>SUMIF(SmtRes!AQ35:'SmtRes'!AQ45,"=1",SmtRes!AB35:'SmtRes'!AB45)</f>
        <v>4131.8500000000004</v>
      </c>
      <c r="CS70">
        <f>SUMIF(SmtRes!AQ35:'SmtRes'!AQ45,"=1",SmtRes!AC35:'SmtRes'!AC45)</f>
        <v>1808.43</v>
      </c>
      <c r="CT70">
        <f>SUMIF(SmtRes!AQ35:'SmtRes'!AQ45,"=1",SmtRes!AD35:'SmtRes'!AD45)</f>
        <v>534.48</v>
      </c>
      <c r="CU70">
        <f t="shared" si="40"/>
        <v>0</v>
      </c>
      <c r="CV70">
        <f>SUMIF(SmtRes!AQ35:'SmtRes'!AQ45,"=1",SmtRes!BU35:'SmtRes'!BU45)</f>
        <v>1.2809999999999999</v>
      </c>
      <c r="CW70">
        <f>SUMIF(SmtRes!AQ35:'SmtRes'!AQ45,"=1",SmtRes!BV35:'SmtRes'!BV45)</f>
        <v>1.1189999999999998</v>
      </c>
      <c r="CX70">
        <f t="shared" si="41"/>
        <v>0</v>
      </c>
      <c r="CY70">
        <f t="shared" si="42"/>
        <v>1378.8743999999999</v>
      </c>
      <c r="CZ70">
        <f t="shared" si="43"/>
        <v>724.97520000000009</v>
      </c>
      <c r="DB70">
        <v>3</v>
      </c>
      <c r="DC70" t="s">
        <v>3</v>
      </c>
      <c r="DD70" t="s">
        <v>111</v>
      </c>
      <c r="DE70" t="s">
        <v>112</v>
      </c>
      <c r="DF70" t="s">
        <v>112</v>
      </c>
      <c r="DG70" t="s">
        <v>112</v>
      </c>
      <c r="DH70" t="s">
        <v>3</v>
      </c>
      <c r="DI70" t="s">
        <v>112</v>
      </c>
      <c r="DJ70" t="s">
        <v>112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77</v>
      </c>
      <c r="DW70" t="s">
        <v>77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64850885</v>
      </c>
      <c r="EF70">
        <v>3</v>
      </c>
      <c r="EG70" t="s">
        <v>113</v>
      </c>
      <c r="EH70">
        <v>0</v>
      </c>
      <c r="EI70" t="s">
        <v>3</v>
      </c>
      <c r="EJ70">
        <v>2</v>
      </c>
      <c r="EK70">
        <v>108001</v>
      </c>
      <c r="EL70" t="s">
        <v>114</v>
      </c>
      <c r="EM70" t="s">
        <v>115</v>
      </c>
      <c r="EO70" t="s">
        <v>116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4.2699999999999996</v>
      </c>
      <c r="EX70">
        <v>3.73</v>
      </c>
      <c r="EY70">
        <v>0</v>
      </c>
      <c r="FQ70">
        <v>0</v>
      </c>
      <c r="FR70">
        <f t="shared" si="44"/>
        <v>0</v>
      </c>
      <c r="FS70">
        <v>0</v>
      </c>
      <c r="FX70">
        <v>97</v>
      </c>
      <c r="FY70">
        <v>51</v>
      </c>
      <c r="GA70" t="s">
        <v>3</v>
      </c>
      <c r="GD70">
        <v>1</v>
      </c>
      <c r="GF70">
        <v>495593782</v>
      </c>
      <c r="GG70">
        <v>2</v>
      </c>
      <c r="GH70">
        <v>1</v>
      </c>
      <c r="GI70">
        <v>-2</v>
      </c>
      <c r="GJ70">
        <v>0</v>
      </c>
      <c r="GK70">
        <v>0</v>
      </c>
      <c r="GL70">
        <f t="shared" si="45"/>
        <v>0</v>
      </c>
      <c r="GM70">
        <f t="shared" si="46"/>
        <v>5760.4</v>
      </c>
      <c r="GN70">
        <f t="shared" si="47"/>
        <v>0</v>
      </c>
      <c r="GO70">
        <f t="shared" si="48"/>
        <v>5760.4</v>
      </c>
      <c r="GP70">
        <f t="shared" si="49"/>
        <v>0</v>
      </c>
      <c r="GR70">
        <v>0</v>
      </c>
      <c r="GS70">
        <v>0</v>
      </c>
      <c r="GT70">
        <v>0</v>
      </c>
      <c r="GU70" t="s">
        <v>3</v>
      </c>
      <c r="GV70">
        <f t="shared" si="50"/>
        <v>0</v>
      </c>
      <c r="GW70">
        <v>1</v>
      </c>
      <c r="GX70">
        <f t="shared" si="51"/>
        <v>0</v>
      </c>
      <c r="HA70">
        <v>0</v>
      </c>
      <c r="HB70">
        <v>0</v>
      </c>
      <c r="HC70">
        <f t="shared" si="52"/>
        <v>0</v>
      </c>
      <c r="HE70" t="s">
        <v>3</v>
      </c>
      <c r="HF70" t="s">
        <v>3</v>
      </c>
      <c r="HM70" t="s">
        <v>3</v>
      </c>
      <c r="HN70" t="s">
        <v>117</v>
      </c>
      <c r="HO70" t="s">
        <v>118</v>
      </c>
      <c r="HP70" t="s">
        <v>114</v>
      </c>
      <c r="HQ70" t="s">
        <v>114</v>
      </c>
      <c r="IK70">
        <v>0</v>
      </c>
    </row>
    <row r="71" spans="1:245" x14ac:dyDescent="0.2">
      <c r="A71">
        <v>17</v>
      </c>
      <c r="B71">
        <v>1</v>
      </c>
      <c r="C71">
        <f>ROW(SmtRes!A53)</f>
        <v>53</v>
      </c>
      <c r="D71">
        <f>ROW(EtalonRes!A53)</f>
        <v>53</v>
      </c>
      <c r="E71" t="s">
        <v>127</v>
      </c>
      <c r="F71" t="s">
        <v>128</v>
      </c>
      <c r="G71" t="s">
        <v>129</v>
      </c>
      <c r="H71" t="s">
        <v>130</v>
      </c>
      <c r="I71">
        <f>ROUND(12/10,7)</f>
        <v>1.2</v>
      </c>
      <c r="J71">
        <v>0</v>
      </c>
      <c r="K71">
        <f>ROUND(12/10,7)</f>
        <v>1.2</v>
      </c>
      <c r="O71">
        <f t="shared" si="30"/>
        <v>1815.37</v>
      </c>
      <c r="P71">
        <f>SUMIF(SmtRes!AQ46:'SmtRes'!AQ53,"=1",SmtRes!DF46:'SmtRes'!DF53)</f>
        <v>0</v>
      </c>
      <c r="Q71">
        <f>SUMIF(SmtRes!AQ46:'SmtRes'!AQ53,"=1",SmtRes!DG46:'SmtRes'!DG53)</f>
        <v>144.63</v>
      </c>
      <c r="R71">
        <f>SUMIF(SmtRes!AQ46:'SmtRes'!AQ53,"=1",SmtRes!DH46:'SmtRes'!DH53)</f>
        <v>70.349999999999994</v>
      </c>
      <c r="S71">
        <f>SUMIF(SmtRes!AQ46:'SmtRes'!AQ53,"=1",SmtRes!DI46:'SmtRes'!DI53)</f>
        <v>1600.39</v>
      </c>
      <c r="T71">
        <f t="shared" si="31"/>
        <v>0</v>
      </c>
      <c r="U71">
        <f>SUMIF(SmtRes!AQ46:'SmtRes'!AQ53,"=1",SmtRes!CV46:'SmtRes'!CV53)</f>
        <v>3.3372000000000002</v>
      </c>
      <c r="V71">
        <f>SUMIF(SmtRes!AQ46:'SmtRes'!AQ53,"=1",SmtRes!CW46:'SmtRes'!CW53)</f>
        <v>0.12239999999999999</v>
      </c>
      <c r="W71">
        <f t="shared" si="32"/>
        <v>0</v>
      </c>
      <c r="X71">
        <f t="shared" si="33"/>
        <v>1620.62</v>
      </c>
      <c r="Y71">
        <f t="shared" si="34"/>
        <v>852.08</v>
      </c>
      <c r="AA71">
        <v>65178645</v>
      </c>
      <c r="AB71">
        <f t="shared" si="35"/>
        <v>1449.06393</v>
      </c>
      <c r="AC71">
        <f t="shared" si="36"/>
        <v>0</v>
      </c>
      <c r="AD71">
        <f>ROUND((((SUM(SmtRes!BR46:'SmtRes'!BR53))-(SUM(SmtRes!BS46:'SmtRes'!BS53)))+AE71),6)</f>
        <v>115.40757000000001</v>
      </c>
      <c r="AE71">
        <f>ROUND((SUM(SmtRes!BS46:'SmtRes'!BS53)),6)</f>
        <v>58.623989999999999</v>
      </c>
      <c r="AF71">
        <f>ROUND((SUM(SmtRes!BT46:'SmtRes'!BT53)),6)</f>
        <v>1333.6563599999999</v>
      </c>
      <c r="AG71">
        <f t="shared" si="37"/>
        <v>0</v>
      </c>
      <c r="AH71">
        <f>(SUM(SmtRes!BU46:'SmtRes'!BU53))</f>
        <v>2.7809999999999997</v>
      </c>
      <c r="AI71">
        <f>(SUM(SmtRes!BV46:'SmtRes'!BV53))</f>
        <v>0.10200000000000001</v>
      </c>
      <c r="AJ71">
        <f t="shared" si="38"/>
        <v>0</v>
      </c>
      <c r="AK71">
        <v>6949.9058999999997</v>
      </c>
      <c r="AL71">
        <v>1924.2794999999999</v>
      </c>
      <c r="AM71">
        <v>384.69190000000003</v>
      </c>
      <c r="AN71">
        <v>195.41330000000002</v>
      </c>
      <c r="AO71">
        <v>4445.5212000000001</v>
      </c>
      <c r="AP71">
        <v>0</v>
      </c>
      <c r="AQ71">
        <v>9.27</v>
      </c>
      <c r="AR71">
        <v>0.34</v>
      </c>
      <c r="AS71">
        <v>0</v>
      </c>
      <c r="AT71">
        <v>97</v>
      </c>
      <c r="AU71">
        <v>51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2</v>
      </c>
      <c r="BJ71" t="s">
        <v>131</v>
      </c>
      <c r="BM71">
        <v>108001</v>
      </c>
      <c r="BN71">
        <v>0</v>
      </c>
      <c r="BO71" t="s">
        <v>3</v>
      </c>
      <c r="BP71">
        <v>0</v>
      </c>
      <c r="BQ71">
        <v>3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97</v>
      </c>
      <c r="CA71">
        <v>51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110</v>
      </c>
      <c r="CO71">
        <v>0</v>
      </c>
      <c r="CP71">
        <f t="shared" si="39"/>
        <v>1815.37</v>
      </c>
      <c r="CQ71">
        <f>SUMIF(SmtRes!AQ46:'SmtRes'!AQ53,"=1",SmtRes!AA46:'SmtRes'!AA53)</f>
        <v>1269.07</v>
      </c>
      <c r="CR71">
        <f>SUMIF(SmtRes!AQ46:'SmtRes'!AQ53,"=1",SmtRes!AB46:'SmtRes'!AB53)</f>
        <v>2155.7900000000004</v>
      </c>
      <c r="CS71">
        <f>SUMIF(SmtRes!AQ46:'SmtRes'!AQ53,"=1",SmtRes!AC46:'SmtRes'!AC53)</f>
        <v>1149.49</v>
      </c>
      <c r="CT71">
        <f>SUMIF(SmtRes!AQ46:'SmtRes'!AQ53,"=1",SmtRes!AD46:'SmtRes'!AD53)</f>
        <v>479.56</v>
      </c>
      <c r="CU71">
        <f t="shared" si="40"/>
        <v>0</v>
      </c>
      <c r="CV71">
        <f>SUMIF(SmtRes!AQ46:'SmtRes'!AQ53,"=1",SmtRes!BU46:'SmtRes'!BU53)</f>
        <v>2.7809999999999997</v>
      </c>
      <c r="CW71">
        <f>SUMIF(SmtRes!AQ46:'SmtRes'!AQ53,"=1",SmtRes!BV46:'SmtRes'!BV53)</f>
        <v>0.10200000000000001</v>
      </c>
      <c r="CX71">
        <f t="shared" si="41"/>
        <v>0</v>
      </c>
      <c r="CY71">
        <f t="shared" si="42"/>
        <v>1620.6178</v>
      </c>
      <c r="CZ71">
        <f t="shared" si="43"/>
        <v>852.07740000000001</v>
      </c>
      <c r="DB71">
        <v>4</v>
      </c>
      <c r="DC71" t="s">
        <v>3</v>
      </c>
      <c r="DD71" t="s">
        <v>111</v>
      </c>
      <c r="DE71" t="s">
        <v>112</v>
      </c>
      <c r="DF71" t="s">
        <v>112</v>
      </c>
      <c r="DG71" t="s">
        <v>112</v>
      </c>
      <c r="DH71" t="s">
        <v>3</v>
      </c>
      <c r="DI71" t="s">
        <v>112</v>
      </c>
      <c r="DJ71" t="s">
        <v>112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130</v>
      </c>
      <c r="DW71" t="s">
        <v>130</v>
      </c>
      <c r="DX71">
        <v>1</v>
      </c>
      <c r="DZ71" t="s">
        <v>3</v>
      </c>
      <c r="EA71" t="s">
        <v>3</v>
      </c>
      <c r="EB71" t="s">
        <v>3</v>
      </c>
      <c r="EC71" t="s">
        <v>3</v>
      </c>
      <c r="EE71">
        <v>64850885</v>
      </c>
      <c r="EF71">
        <v>3</v>
      </c>
      <c r="EG71" t="s">
        <v>113</v>
      </c>
      <c r="EH71">
        <v>0</v>
      </c>
      <c r="EI71" t="s">
        <v>3</v>
      </c>
      <c r="EJ71">
        <v>2</v>
      </c>
      <c r="EK71">
        <v>108001</v>
      </c>
      <c r="EL71" t="s">
        <v>114</v>
      </c>
      <c r="EM71" t="s">
        <v>115</v>
      </c>
      <c r="EO71" t="s">
        <v>116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9.27</v>
      </c>
      <c r="EX71">
        <v>0.34</v>
      </c>
      <c r="EY71">
        <v>0</v>
      </c>
      <c r="FQ71">
        <v>0</v>
      </c>
      <c r="FR71">
        <f t="shared" si="44"/>
        <v>0</v>
      </c>
      <c r="FS71">
        <v>0</v>
      </c>
      <c r="FX71">
        <v>97</v>
      </c>
      <c r="FY71">
        <v>51</v>
      </c>
      <c r="GA71" t="s">
        <v>3</v>
      </c>
      <c r="GD71">
        <v>1</v>
      </c>
      <c r="GF71">
        <v>-1037967775</v>
      </c>
      <c r="GG71">
        <v>2</v>
      </c>
      <c r="GH71">
        <v>1</v>
      </c>
      <c r="GI71">
        <v>-2</v>
      </c>
      <c r="GJ71">
        <v>0</v>
      </c>
      <c r="GK71">
        <v>0</v>
      </c>
      <c r="GL71">
        <f t="shared" si="45"/>
        <v>0</v>
      </c>
      <c r="GM71">
        <f t="shared" si="46"/>
        <v>4288.07</v>
      </c>
      <c r="GN71">
        <f t="shared" si="47"/>
        <v>0</v>
      </c>
      <c r="GO71">
        <f t="shared" si="48"/>
        <v>4288.07</v>
      </c>
      <c r="GP71">
        <f t="shared" si="49"/>
        <v>0</v>
      </c>
      <c r="GR71">
        <v>0</v>
      </c>
      <c r="GS71">
        <v>0</v>
      </c>
      <c r="GT71">
        <v>0</v>
      </c>
      <c r="GU71" t="s">
        <v>3</v>
      </c>
      <c r="GV71">
        <f t="shared" si="50"/>
        <v>0</v>
      </c>
      <c r="GW71">
        <v>1</v>
      </c>
      <c r="GX71">
        <f t="shared" si="51"/>
        <v>0</v>
      </c>
      <c r="HA71">
        <v>0</v>
      </c>
      <c r="HB71">
        <v>0</v>
      </c>
      <c r="HC71">
        <f t="shared" si="52"/>
        <v>0</v>
      </c>
      <c r="HE71" t="s">
        <v>3</v>
      </c>
      <c r="HF71" t="s">
        <v>3</v>
      </c>
      <c r="HM71" t="s">
        <v>3</v>
      </c>
      <c r="HN71" t="s">
        <v>117</v>
      </c>
      <c r="HO71" t="s">
        <v>118</v>
      </c>
      <c r="HP71" t="s">
        <v>114</v>
      </c>
      <c r="HQ71" t="s">
        <v>114</v>
      </c>
      <c r="IK71">
        <v>0</v>
      </c>
    </row>
    <row r="72" spans="1:245" x14ac:dyDescent="0.2">
      <c r="A72">
        <v>17</v>
      </c>
      <c r="B72">
        <v>1</v>
      </c>
      <c r="C72">
        <f>ROW(SmtRes!A62)</f>
        <v>62</v>
      </c>
      <c r="D72">
        <f>ROW(EtalonRes!A62)</f>
        <v>62</v>
      </c>
      <c r="E72" t="s">
        <v>132</v>
      </c>
      <c r="F72" t="s">
        <v>133</v>
      </c>
      <c r="G72" t="s">
        <v>134</v>
      </c>
      <c r="H72" t="s">
        <v>135</v>
      </c>
      <c r="I72">
        <f>ROUND(108/100,7)</f>
        <v>1.08</v>
      </c>
      <c r="J72">
        <v>0</v>
      </c>
      <c r="K72">
        <f>ROUND(108/100,7)</f>
        <v>1.08</v>
      </c>
      <c r="O72">
        <f t="shared" si="30"/>
        <v>3079.81</v>
      </c>
      <c r="P72">
        <f>SUMIF(SmtRes!AQ54:'SmtRes'!AQ62,"=1",SmtRes!DF54:'SmtRes'!DF62)</f>
        <v>0</v>
      </c>
      <c r="Q72">
        <f>SUMIF(SmtRes!AQ54:'SmtRes'!AQ62,"=1",SmtRes!DG54:'SmtRes'!DG62)</f>
        <v>142.01999999999998</v>
      </c>
      <c r="R72">
        <f>SUMIF(SmtRes!AQ54:'SmtRes'!AQ62,"=1",SmtRes!DH54:'SmtRes'!DH62)</f>
        <v>63.31</v>
      </c>
      <c r="S72">
        <f>SUMIF(SmtRes!AQ54:'SmtRes'!AQ62,"=1",SmtRes!DI54:'SmtRes'!DI62)</f>
        <v>2874.48</v>
      </c>
      <c r="T72">
        <f t="shared" si="31"/>
        <v>0</v>
      </c>
      <c r="U72">
        <f>SUMIF(SmtRes!AQ54:'SmtRes'!AQ62,"=1",SmtRes!CV54:'SmtRes'!CV62)</f>
        <v>5.9939999999999998</v>
      </c>
      <c r="V72">
        <f>SUMIF(SmtRes!AQ54:'SmtRes'!AQ62,"=1",SmtRes!CW54:'SmtRes'!CW62)</f>
        <v>0.11015999999999999</v>
      </c>
      <c r="W72">
        <f t="shared" si="32"/>
        <v>0</v>
      </c>
      <c r="X72">
        <f t="shared" si="33"/>
        <v>2849.66</v>
      </c>
      <c r="Y72">
        <f t="shared" si="34"/>
        <v>1498.27</v>
      </c>
      <c r="AA72">
        <v>65178645</v>
      </c>
      <c r="AB72">
        <f t="shared" si="35"/>
        <v>2787.94101</v>
      </c>
      <c r="AC72">
        <f t="shared" si="36"/>
        <v>0</v>
      </c>
      <c r="AD72">
        <f>ROUND((((SUM(SmtRes!BR54:'SmtRes'!BR62))-(SUM(SmtRes!BS54:'SmtRes'!BS62)))+AE72),6)</f>
        <v>126.38301</v>
      </c>
      <c r="AE72">
        <f>ROUND((SUM(SmtRes!BS54:'SmtRes'!BS62)),6)</f>
        <v>58.623989999999999</v>
      </c>
      <c r="AF72">
        <f>ROUND((SUM(SmtRes!BT54:'SmtRes'!BT62)),6)</f>
        <v>2661.558</v>
      </c>
      <c r="AG72">
        <f t="shared" si="37"/>
        <v>0</v>
      </c>
      <c r="AH72">
        <f>(SUM(SmtRes!BU54:'SmtRes'!BU62))</f>
        <v>5.55</v>
      </c>
      <c r="AI72">
        <f>(SUM(SmtRes!BV54:'SmtRes'!BV62))</f>
        <v>0.10200000000000001</v>
      </c>
      <c r="AJ72">
        <f t="shared" si="38"/>
        <v>0</v>
      </c>
      <c r="AK72">
        <v>12100.887000000001</v>
      </c>
      <c r="AL72">
        <v>2612.3369999999995</v>
      </c>
      <c r="AM72">
        <v>421.27670000000001</v>
      </c>
      <c r="AN72">
        <v>195.41330000000002</v>
      </c>
      <c r="AO72">
        <v>8871.86</v>
      </c>
      <c r="AP72">
        <v>0</v>
      </c>
      <c r="AQ72">
        <v>18.5</v>
      </c>
      <c r="AR72">
        <v>0.34</v>
      </c>
      <c r="AS72">
        <v>0</v>
      </c>
      <c r="AT72">
        <v>97</v>
      </c>
      <c r="AU72">
        <v>51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2</v>
      </c>
      <c r="BJ72" t="s">
        <v>136</v>
      </c>
      <c r="BM72">
        <v>108001</v>
      </c>
      <c r="BN72">
        <v>0</v>
      </c>
      <c r="BO72" t="s">
        <v>3</v>
      </c>
      <c r="BP72">
        <v>0</v>
      </c>
      <c r="BQ72">
        <v>3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97</v>
      </c>
      <c r="CA72">
        <v>51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110</v>
      </c>
      <c r="CO72">
        <v>0</v>
      </c>
      <c r="CP72">
        <f t="shared" si="39"/>
        <v>3079.81</v>
      </c>
      <c r="CQ72">
        <f>SUMIF(SmtRes!AQ54:'SmtRes'!AQ62,"=1",SmtRes!AA54:'SmtRes'!AA62)</f>
        <v>62442.159999999996</v>
      </c>
      <c r="CR72">
        <f>SUMIF(SmtRes!AQ54:'SmtRes'!AQ62,"=1",SmtRes!AB54:'SmtRes'!AB62)</f>
        <v>2155.7900000000004</v>
      </c>
      <c r="CS72">
        <f>SUMIF(SmtRes!AQ54:'SmtRes'!AQ62,"=1",SmtRes!AC54:'SmtRes'!AC62)</f>
        <v>1149.49</v>
      </c>
      <c r="CT72">
        <f>SUMIF(SmtRes!AQ54:'SmtRes'!AQ62,"=1",SmtRes!AD54:'SmtRes'!AD62)</f>
        <v>479.56</v>
      </c>
      <c r="CU72">
        <f t="shared" si="40"/>
        <v>0</v>
      </c>
      <c r="CV72">
        <f>SUMIF(SmtRes!AQ54:'SmtRes'!AQ62,"=1",SmtRes!BU54:'SmtRes'!BU62)</f>
        <v>5.55</v>
      </c>
      <c r="CW72">
        <f>SUMIF(SmtRes!AQ54:'SmtRes'!AQ62,"=1",SmtRes!BV54:'SmtRes'!BV62)</f>
        <v>0.10200000000000001</v>
      </c>
      <c r="CX72">
        <f t="shared" si="41"/>
        <v>0</v>
      </c>
      <c r="CY72">
        <f t="shared" si="42"/>
        <v>2849.6563000000001</v>
      </c>
      <c r="CZ72">
        <f t="shared" si="43"/>
        <v>1498.2729000000002</v>
      </c>
      <c r="DB72">
        <v>5</v>
      </c>
      <c r="DC72" t="s">
        <v>3</v>
      </c>
      <c r="DD72" t="s">
        <v>111</v>
      </c>
      <c r="DE72" t="s">
        <v>112</v>
      </c>
      <c r="DF72" t="s">
        <v>112</v>
      </c>
      <c r="DG72" t="s">
        <v>112</v>
      </c>
      <c r="DH72" t="s">
        <v>3</v>
      </c>
      <c r="DI72" t="s">
        <v>112</v>
      </c>
      <c r="DJ72" t="s">
        <v>112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1003</v>
      </c>
      <c r="DV72" t="s">
        <v>135</v>
      </c>
      <c r="DW72" t="s">
        <v>135</v>
      </c>
      <c r="DX72">
        <v>100</v>
      </c>
      <c r="DZ72" t="s">
        <v>3</v>
      </c>
      <c r="EA72" t="s">
        <v>3</v>
      </c>
      <c r="EB72" t="s">
        <v>3</v>
      </c>
      <c r="EC72" t="s">
        <v>3</v>
      </c>
      <c r="EE72">
        <v>64850885</v>
      </c>
      <c r="EF72">
        <v>3</v>
      </c>
      <c r="EG72" t="s">
        <v>113</v>
      </c>
      <c r="EH72">
        <v>0</v>
      </c>
      <c r="EI72" t="s">
        <v>3</v>
      </c>
      <c r="EJ72">
        <v>2</v>
      </c>
      <c r="EK72">
        <v>108001</v>
      </c>
      <c r="EL72" t="s">
        <v>114</v>
      </c>
      <c r="EM72" t="s">
        <v>115</v>
      </c>
      <c r="EO72" t="s">
        <v>116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18.5</v>
      </c>
      <c r="EX72">
        <v>0.34</v>
      </c>
      <c r="EY72">
        <v>0</v>
      </c>
      <c r="FQ72">
        <v>0</v>
      </c>
      <c r="FR72">
        <f t="shared" si="44"/>
        <v>0</v>
      </c>
      <c r="FS72">
        <v>0</v>
      </c>
      <c r="FX72">
        <v>97</v>
      </c>
      <c r="FY72">
        <v>51</v>
      </c>
      <c r="GA72" t="s">
        <v>3</v>
      </c>
      <c r="GD72">
        <v>1</v>
      </c>
      <c r="GF72">
        <v>1521334393</v>
      </c>
      <c r="GG72">
        <v>2</v>
      </c>
      <c r="GH72">
        <v>1</v>
      </c>
      <c r="GI72">
        <v>-2</v>
      </c>
      <c r="GJ72">
        <v>0</v>
      </c>
      <c r="GK72">
        <v>0</v>
      </c>
      <c r="GL72">
        <f t="shared" si="45"/>
        <v>0</v>
      </c>
      <c r="GM72">
        <f t="shared" si="46"/>
        <v>7427.74</v>
      </c>
      <c r="GN72">
        <f t="shared" si="47"/>
        <v>0</v>
      </c>
      <c r="GO72">
        <f t="shared" si="48"/>
        <v>7427.74</v>
      </c>
      <c r="GP72">
        <f t="shared" si="49"/>
        <v>0</v>
      </c>
      <c r="GR72">
        <v>0</v>
      </c>
      <c r="GS72">
        <v>0</v>
      </c>
      <c r="GT72">
        <v>0</v>
      </c>
      <c r="GU72" t="s">
        <v>3</v>
      </c>
      <c r="GV72">
        <f t="shared" si="50"/>
        <v>0</v>
      </c>
      <c r="GW72">
        <v>1</v>
      </c>
      <c r="GX72">
        <f t="shared" si="51"/>
        <v>0</v>
      </c>
      <c r="HA72">
        <v>0</v>
      </c>
      <c r="HB72">
        <v>0</v>
      </c>
      <c r="HC72">
        <f t="shared" si="52"/>
        <v>0</v>
      </c>
      <c r="HE72" t="s">
        <v>3</v>
      </c>
      <c r="HF72" t="s">
        <v>3</v>
      </c>
      <c r="HM72" t="s">
        <v>3</v>
      </c>
      <c r="HN72" t="s">
        <v>117</v>
      </c>
      <c r="HO72" t="s">
        <v>118</v>
      </c>
      <c r="HP72" t="s">
        <v>114</v>
      </c>
      <c r="HQ72" t="s">
        <v>114</v>
      </c>
      <c r="IK72">
        <v>0</v>
      </c>
    </row>
    <row r="74" spans="1:245" x14ac:dyDescent="0.2">
      <c r="A74" s="2">
        <v>51</v>
      </c>
      <c r="B74" s="2">
        <f>B58</f>
        <v>1</v>
      </c>
      <c r="C74" s="2">
        <f>A58</f>
        <v>4</v>
      </c>
      <c r="D74" s="2">
        <f>ROW(A58)</f>
        <v>58</v>
      </c>
      <c r="E74" s="2"/>
      <c r="F74" s="2" t="str">
        <f>IF(F58&lt;&gt;"",F58,"")</f>
        <v>Новый раздел</v>
      </c>
      <c r="G74" s="2" t="str">
        <f>IF(G58&lt;&gt;"",G58,"")</f>
        <v>Демонтажные работы</v>
      </c>
      <c r="H74" s="2">
        <v>0</v>
      </c>
      <c r="I74" s="2"/>
      <c r="J74" s="2"/>
      <c r="K74" s="2"/>
      <c r="L74" s="2"/>
      <c r="M74" s="2"/>
      <c r="N74" s="2"/>
      <c r="O74" s="2">
        <f t="shared" ref="O74:T74" si="53">ROUND(AB74,2)</f>
        <v>175283.7</v>
      </c>
      <c r="P74" s="2">
        <f t="shared" si="53"/>
        <v>0</v>
      </c>
      <c r="Q74" s="2">
        <f t="shared" si="53"/>
        <v>65079.06</v>
      </c>
      <c r="R74" s="2">
        <f t="shared" si="53"/>
        <v>32653.73</v>
      </c>
      <c r="S74" s="2">
        <f t="shared" si="53"/>
        <v>77550.91</v>
      </c>
      <c r="T74" s="2">
        <f t="shared" si="53"/>
        <v>0</v>
      </c>
      <c r="U74" s="2">
        <f>AH74</f>
        <v>175.2122</v>
      </c>
      <c r="V74" s="2">
        <f>AI74</f>
        <v>60.27796</v>
      </c>
      <c r="W74" s="2">
        <f>ROUND(AJ74,2)</f>
        <v>0</v>
      </c>
      <c r="X74" s="2">
        <f>ROUND(AK74,2)</f>
        <v>112140.24</v>
      </c>
      <c r="Y74" s="2">
        <f>ROUND(AL74,2)</f>
        <v>64066.97</v>
      </c>
      <c r="Z74" s="2"/>
      <c r="AA74" s="2"/>
      <c r="AB74" s="2">
        <f>ROUND(SUMIF(AA62:AA72,"=65178645",O62:O72),2)</f>
        <v>175283.7</v>
      </c>
      <c r="AC74" s="2">
        <f>ROUND(SUMIF(AA62:AA72,"=65178645",P62:P72),2)</f>
        <v>0</v>
      </c>
      <c r="AD74" s="2">
        <f>ROUND(SUMIF(AA62:AA72,"=65178645",Q62:Q72),2)</f>
        <v>65079.06</v>
      </c>
      <c r="AE74" s="2">
        <f>ROUND(SUMIF(AA62:AA72,"=65178645",R62:R72),2)</f>
        <v>32653.73</v>
      </c>
      <c r="AF74" s="2">
        <f>ROUND(SUMIF(AA62:AA72,"=65178645",S62:S72),2)</f>
        <v>77550.91</v>
      </c>
      <c r="AG74" s="2">
        <f>ROUND(SUMIF(AA62:AA72,"=65178645",T62:T72),2)</f>
        <v>0</v>
      </c>
      <c r="AH74" s="2">
        <f>SUMIF(AA62:AA72,"=65178645",U62:U72)</f>
        <v>175.2122</v>
      </c>
      <c r="AI74" s="2">
        <f>SUMIF(AA62:AA72,"=65178645",V62:V72)</f>
        <v>60.27796</v>
      </c>
      <c r="AJ74" s="2">
        <f>ROUND(SUMIF(AA62:AA72,"=65178645",W62:W72),2)</f>
        <v>0</v>
      </c>
      <c r="AK74" s="2">
        <f>ROUND(SUMIF(AA62:AA72,"=65178645",X62:X72),2)</f>
        <v>112140.24</v>
      </c>
      <c r="AL74" s="2">
        <f>ROUND(SUMIF(AA62:AA72,"=65178645",Y62:Y72),2)</f>
        <v>64066.97</v>
      </c>
      <c r="AM74" s="2"/>
      <c r="AN74" s="2"/>
      <c r="AO74" s="2">
        <f t="shared" ref="AO74:BD74" si="54">ROUND(BX74,2)</f>
        <v>0</v>
      </c>
      <c r="AP74" s="2">
        <f t="shared" si="54"/>
        <v>0</v>
      </c>
      <c r="AQ74" s="2">
        <f t="shared" si="54"/>
        <v>0</v>
      </c>
      <c r="AR74" s="2">
        <f t="shared" si="54"/>
        <v>351490.91</v>
      </c>
      <c r="AS74" s="2">
        <f t="shared" si="54"/>
        <v>286994.03999999998</v>
      </c>
      <c r="AT74" s="2">
        <f t="shared" si="54"/>
        <v>64496.87</v>
      </c>
      <c r="AU74" s="2">
        <f t="shared" si="54"/>
        <v>0</v>
      </c>
      <c r="AV74" s="2">
        <f t="shared" si="54"/>
        <v>0</v>
      </c>
      <c r="AW74" s="2">
        <f t="shared" si="54"/>
        <v>0</v>
      </c>
      <c r="AX74" s="2">
        <f t="shared" si="54"/>
        <v>0</v>
      </c>
      <c r="AY74" s="2">
        <f t="shared" si="54"/>
        <v>0</v>
      </c>
      <c r="AZ74" s="2">
        <f t="shared" si="54"/>
        <v>0</v>
      </c>
      <c r="BA74" s="2">
        <f t="shared" si="54"/>
        <v>0</v>
      </c>
      <c r="BB74" s="2">
        <f t="shared" si="54"/>
        <v>0</v>
      </c>
      <c r="BC74" s="2">
        <f t="shared" si="54"/>
        <v>0</v>
      </c>
      <c r="BD74" s="2">
        <f t="shared" si="54"/>
        <v>0</v>
      </c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>
        <f>ROUND(SUMIF(AA62:AA72,"=65178645",FQ62:FQ72),2)</f>
        <v>0</v>
      </c>
      <c r="BY74" s="2">
        <f>ROUND(SUMIF(AA62:AA72,"=65178645",FR62:FR72),2)</f>
        <v>0</v>
      </c>
      <c r="BZ74" s="2">
        <f>ROUND(SUMIF(AA62:AA72,"=65178645",GL62:GL72),2)</f>
        <v>0</v>
      </c>
      <c r="CA74" s="2">
        <f>ROUND(SUMIF(AA62:AA72,"=65178645",GM62:GM72),2)</f>
        <v>351490.91</v>
      </c>
      <c r="CB74" s="2">
        <f>ROUND(SUMIF(AA62:AA72,"=65178645",GN62:GN72),2)</f>
        <v>286994.03999999998</v>
      </c>
      <c r="CC74" s="2">
        <f>ROUND(SUMIF(AA62:AA72,"=65178645",GO62:GO72),2)</f>
        <v>64496.87</v>
      </c>
      <c r="CD74" s="2">
        <f>ROUND(SUMIF(AA62:AA72,"=65178645",GP62:GP72),2)</f>
        <v>0</v>
      </c>
      <c r="CE74" s="2">
        <f>AC74-BX74</f>
        <v>0</v>
      </c>
      <c r="CF74" s="2">
        <f>AC74-BY74</f>
        <v>0</v>
      </c>
      <c r="CG74" s="2">
        <f>BX74-BZ74</f>
        <v>0</v>
      </c>
      <c r="CH74" s="2">
        <f>AC74-BX74-BY74+BZ74</f>
        <v>0</v>
      </c>
      <c r="CI74" s="2">
        <f>BY74-BZ74</f>
        <v>0</v>
      </c>
      <c r="CJ74" s="2">
        <f>ROUND(SUMIF(AA62:AA72,"=65178645",GX62:GX72),2)</f>
        <v>0</v>
      </c>
      <c r="CK74" s="2">
        <f>ROUND(SUMIF(AA62:AA72,"=65178645",GY62:GY72),2)</f>
        <v>0</v>
      </c>
      <c r="CL74" s="2">
        <f>ROUND(SUMIF(AA62:AA72,"=65178645",GZ62:GZ72),2)</f>
        <v>0</v>
      </c>
      <c r="CM74" s="2">
        <f>ROUND(SUMIF(AA62:AA72,"=65178645",HD62:HD72),2)</f>
        <v>0</v>
      </c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>
        <v>0</v>
      </c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201</v>
      </c>
      <c r="F76" s="4">
        <f>ROUND(Source!O74,O76)</f>
        <v>175283.7</v>
      </c>
      <c r="G76" s="4" t="s">
        <v>17</v>
      </c>
      <c r="H76" s="4" t="s">
        <v>18</v>
      </c>
      <c r="I76" s="4"/>
      <c r="J76" s="4"/>
      <c r="K76" s="4">
        <v>201</v>
      </c>
      <c r="L76" s="4">
        <v>1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175283.7</v>
      </c>
      <c r="X76" s="4">
        <v>1</v>
      </c>
      <c r="Y76" s="4">
        <v>175283.7</v>
      </c>
      <c r="Z76" s="4"/>
      <c r="AA76" s="4"/>
      <c r="AB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202</v>
      </c>
      <c r="F77" s="4">
        <f>ROUND(Source!P74,O77)</f>
        <v>0</v>
      </c>
      <c r="G77" s="4" t="s">
        <v>19</v>
      </c>
      <c r="H77" s="4" t="s">
        <v>20</v>
      </c>
      <c r="I77" s="4"/>
      <c r="J77" s="4"/>
      <c r="K77" s="4">
        <v>202</v>
      </c>
      <c r="L77" s="4">
        <v>2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222</v>
      </c>
      <c r="F78" s="4">
        <f>ROUND(Source!AO74,O78)</f>
        <v>0</v>
      </c>
      <c r="G78" s="4" t="s">
        <v>21</v>
      </c>
      <c r="H78" s="4" t="s">
        <v>22</v>
      </c>
      <c r="I78" s="4"/>
      <c r="J78" s="4"/>
      <c r="K78" s="4">
        <v>222</v>
      </c>
      <c r="L78" s="4">
        <v>3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225</v>
      </c>
      <c r="F79" s="4">
        <f>ROUND(Source!AV74,O79)</f>
        <v>0</v>
      </c>
      <c r="G79" s="4" t="s">
        <v>23</v>
      </c>
      <c r="H79" s="4" t="s">
        <v>24</v>
      </c>
      <c r="I79" s="4"/>
      <c r="J79" s="4"/>
      <c r="K79" s="4">
        <v>225</v>
      </c>
      <c r="L79" s="4">
        <v>4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226</v>
      </c>
      <c r="F80" s="4">
        <f>ROUND(Source!AW74,O80)</f>
        <v>0</v>
      </c>
      <c r="G80" s="4" t="s">
        <v>25</v>
      </c>
      <c r="H80" s="4" t="s">
        <v>26</v>
      </c>
      <c r="I80" s="4"/>
      <c r="J80" s="4"/>
      <c r="K80" s="4">
        <v>226</v>
      </c>
      <c r="L80" s="4">
        <v>5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227</v>
      </c>
      <c r="F81" s="4">
        <f>ROUND(Source!AX74,O81)</f>
        <v>0</v>
      </c>
      <c r="G81" s="4" t="s">
        <v>27</v>
      </c>
      <c r="H81" s="4" t="s">
        <v>28</v>
      </c>
      <c r="I81" s="4"/>
      <c r="J81" s="4"/>
      <c r="K81" s="4">
        <v>227</v>
      </c>
      <c r="L81" s="4">
        <v>6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228</v>
      </c>
      <c r="F82" s="4">
        <f>ROUND(Source!AY74,O82)</f>
        <v>0</v>
      </c>
      <c r="G82" s="4" t="s">
        <v>29</v>
      </c>
      <c r="H82" s="4" t="s">
        <v>30</v>
      </c>
      <c r="I82" s="4"/>
      <c r="J82" s="4"/>
      <c r="K82" s="4">
        <v>228</v>
      </c>
      <c r="L82" s="4">
        <v>7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216</v>
      </c>
      <c r="F83" s="4">
        <f>ROUND(Source!AP74,O83)</f>
        <v>0</v>
      </c>
      <c r="G83" s="4" t="s">
        <v>31</v>
      </c>
      <c r="H83" s="4" t="s">
        <v>32</v>
      </c>
      <c r="I83" s="4"/>
      <c r="J83" s="4"/>
      <c r="K83" s="4">
        <v>216</v>
      </c>
      <c r="L83" s="4">
        <v>8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223</v>
      </c>
      <c r="F84" s="4">
        <f>ROUND(Source!AQ74,O84)</f>
        <v>0</v>
      </c>
      <c r="G84" s="4" t="s">
        <v>33</v>
      </c>
      <c r="H84" s="4" t="s">
        <v>34</v>
      </c>
      <c r="I84" s="4"/>
      <c r="J84" s="4"/>
      <c r="K84" s="4">
        <v>223</v>
      </c>
      <c r="L84" s="4">
        <v>9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229</v>
      </c>
      <c r="F85" s="4">
        <f>ROUND(Source!AZ74,O85)</f>
        <v>0</v>
      </c>
      <c r="G85" s="4" t="s">
        <v>35</v>
      </c>
      <c r="H85" s="4" t="s">
        <v>36</v>
      </c>
      <c r="I85" s="4"/>
      <c r="J85" s="4"/>
      <c r="K85" s="4">
        <v>229</v>
      </c>
      <c r="L85" s="4">
        <v>10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203</v>
      </c>
      <c r="F86" s="4">
        <f>ROUND(Source!Q74,O86)</f>
        <v>65079.06</v>
      </c>
      <c r="G86" s="4" t="s">
        <v>37</v>
      </c>
      <c r="H86" s="4" t="s">
        <v>38</v>
      </c>
      <c r="I86" s="4"/>
      <c r="J86" s="4"/>
      <c r="K86" s="4">
        <v>203</v>
      </c>
      <c r="L86" s="4">
        <v>11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65079.05999999999</v>
      </c>
      <c r="X86" s="4">
        <v>1</v>
      </c>
      <c r="Y86" s="4">
        <v>65079.05999999999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231</v>
      </c>
      <c r="F87" s="4">
        <f>ROUND(Source!BB74,O87)</f>
        <v>0</v>
      </c>
      <c r="G87" s="4" t="s">
        <v>39</v>
      </c>
      <c r="H87" s="4" t="s">
        <v>40</v>
      </c>
      <c r="I87" s="4"/>
      <c r="J87" s="4"/>
      <c r="K87" s="4">
        <v>231</v>
      </c>
      <c r="L87" s="4">
        <v>12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204</v>
      </c>
      <c r="F88" s="4">
        <f>ROUND(Source!R74,O88)</f>
        <v>32653.73</v>
      </c>
      <c r="G88" s="4" t="s">
        <v>41</v>
      </c>
      <c r="H88" s="4" t="s">
        <v>42</v>
      </c>
      <c r="I88" s="4"/>
      <c r="J88" s="4"/>
      <c r="K88" s="4">
        <v>204</v>
      </c>
      <c r="L88" s="4">
        <v>13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32653.730000000003</v>
      </c>
      <c r="X88" s="4">
        <v>1</v>
      </c>
      <c r="Y88" s="4">
        <v>32653.730000000003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205</v>
      </c>
      <c r="F89" s="4">
        <f>ROUND(Source!S74,O89)</f>
        <v>77550.91</v>
      </c>
      <c r="G89" s="4" t="s">
        <v>43</v>
      </c>
      <c r="H89" s="4" t="s">
        <v>44</v>
      </c>
      <c r="I89" s="4"/>
      <c r="J89" s="4"/>
      <c r="K89" s="4">
        <v>205</v>
      </c>
      <c r="L89" s="4">
        <v>14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77550.91</v>
      </c>
      <c r="X89" s="4">
        <v>1</v>
      </c>
      <c r="Y89" s="4">
        <v>77550.91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232</v>
      </c>
      <c r="F90" s="4">
        <f>ROUND(Source!BC74,O90)</f>
        <v>0</v>
      </c>
      <c r="G90" s="4" t="s">
        <v>45</v>
      </c>
      <c r="H90" s="4" t="s">
        <v>46</v>
      </c>
      <c r="I90" s="4"/>
      <c r="J90" s="4"/>
      <c r="K90" s="4">
        <v>232</v>
      </c>
      <c r="L90" s="4">
        <v>15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214</v>
      </c>
      <c r="F91" s="4">
        <f>ROUND(Source!AS74,O91)</f>
        <v>286994.03999999998</v>
      </c>
      <c r="G91" s="4" t="s">
        <v>47</v>
      </c>
      <c r="H91" s="4" t="s">
        <v>48</v>
      </c>
      <c r="I91" s="4"/>
      <c r="J91" s="4"/>
      <c r="K91" s="4">
        <v>214</v>
      </c>
      <c r="L91" s="4">
        <v>16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286994.03999999998</v>
      </c>
      <c r="X91" s="4">
        <v>1</v>
      </c>
      <c r="Y91" s="4">
        <v>286994.03999999998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215</v>
      </c>
      <c r="F92" s="4">
        <f>ROUND(Source!AT74,O92)</f>
        <v>64496.87</v>
      </c>
      <c r="G92" s="4" t="s">
        <v>49</v>
      </c>
      <c r="H92" s="4" t="s">
        <v>50</v>
      </c>
      <c r="I92" s="4"/>
      <c r="J92" s="4"/>
      <c r="K92" s="4">
        <v>215</v>
      </c>
      <c r="L92" s="4">
        <v>17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64496.87</v>
      </c>
      <c r="X92" s="4">
        <v>1</v>
      </c>
      <c r="Y92" s="4">
        <v>64496.87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217</v>
      </c>
      <c r="F93" s="4">
        <f>ROUND(Source!AU74,O93)</f>
        <v>0</v>
      </c>
      <c r="G93" s="4" t="s">
        <v>51</v>
      </c>
      <c r="H93" s="4" t="s">
        <v>52</v>
      </c>
      <c r="I93" s="4"/>
      <c r="J93" s="4"/>
      <c r="K93" s="4">
        <v>217</v>
      </c>
      <c r="L93" s="4">
        <v>18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230</v>
      </c>
      <c r="F94" s="4">
        <f>ROUND(Source!BA74,O94)</f>
        <v>0</v>
      </c>
      <c r="G94" s="4" t="s">
        <v>53</v>
      </c>
      <c r="H94" s="4" t="s">
        <v>54</v>
      </c>
      <c r="I94" s="4"/>
      <c r="J94" s="4"/>
      <c r="K94" s="4">
        <v>230</v>
      </c>
      <c r="L94" s="4">
        <v>19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206</v>
      </c>
      <c r="F95" s="4">
        <f>ROUND(Source!T74,O95)</f>
        <v>0</v>
      </c>
      <c r="G95" s="4" t="s">
        <v>55</v>
      </c>
      <c r="H95" s="4" t="s">
        <v>56</v>
      </c>
      <c r="I95" s="4"/>
      <c r="J95" s="4"/>
      <c r="K95" s="4">
        <v>206</v>
      </c>
      <c r="L95" s="4">
        <v>20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207</v>
      </c>
      <c r="F96" s="4">
        <f>ROUND(Source!U74,O96)</f>
        <v>175.2122</v>
      </c>
      <c r="G96" s="4" t="s">
        <v>57</v>
      </c>
      <c r="H96" s="4" t="s">
        <v>58</v>
      </c>
      <c r="I96" s="4"/>
      <c r="J96" s="4"/>
      <c r="K96" s="4">
        <v>207</v>
      </c>
      <c r="L96" s="4">
        <v>21</v>
      </c>
      <c r="M96" s="4">
        <v>3</v>
      </c>
      <c r="N96" s="4" t="s">
        <v>3</v>
      </c>
      <c r="O96" s="4">
        <v>7</v>
      </c>
      <c r="P96" s="4"/>
      <c r="Q96" s="4"/>
      <c r="R96" s="4"/>
      <c r="S96" s="4"/>
      <c r="T96" s="4"/>
      <c r="U96" s="4"/>
      <c r="V96" s="4"/>
      <c r="W96" s="4">
        <v>175.2122</v>
      </c>
      <c r="X96" s="4">
        <v>1</v>
      </c>
      <c r="Y96" s="4">
        <v>175.2122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208</v>
      </c>
      <c r="F97" s="4">
        <f>ROUND(Source!V74,O97)</f>
        <v>60.27796</v>
      </c>
      <c r="G97" s="4" t="s">
        <v>59</v>
      </c>
      <c r="H97" s="4" t="s">
        <v>60</v>
      </c>
      <c r="I97" s="4"/>
      <c r="J97" s="4"/>
      <c r="K97" s="4">
        <v>208</v>
      </c>
      <c r="L97" s="4">
        <v>22</v>
      </c>
      <c r="M97" s="4">
        <v>3</v>
      </c>
      <c r="N97" s="4" t="s">
        <v>3</v>
      </c>
      <c r="O97" s="4">
        <v>7</v>
      </c>
      <c r="P97" s="4"/>
      <c r="Q97" s="4"/>
      <c r="R97" s="4"/>
      <c r="S97" s="4"/>
      <c r="T97" s="4"/>
      <c r="U97" s="4"/>
      <c r="V97" s="4"/>
      <c r="W97" s="4">
        <v>60.27796</v>
      </c>
      <c r="X97" s="4">
        <v>1</v>
      </c>
      <c r="Y97" s="4">
        <v>60.27796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209</v>
      </c>
      <c r="F98" s="4">
        <f>ROUND(Source!W74,O98)</f>
        <v>0</v>
      </c>
      <c r="G98" s="4" t="s">
        <v>61</v>
      </c>
      <c r="H98" s="4" t="s">
        <v>62</v>
      </c>
      <c r="I98" s="4"/>
      <c r="J98" s="4"/>
      <c r="K98" s="4">
        <v>209</v>
      </c>
      <c r="L98" s="4">
        <v>23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233</v>
      </c>
      <c r="F99" s="4">
        <f>ROUND(Source!BD74,O99)</f>
        <v>0</v>
      </c>
      <c r="G99" s="4" t="s">
        <v>63</v>
      </c>
      <c r="H99" s="4" t="s">
        <v>64</v>
      </c>
      <c r="I99" s="4"/>
      <c r="J99" s="4"/>
      <c r="K99" s="4">
        <v>233</v>
      </c>
      <c r="L99" s="4">
        <v>24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210</v>
      </c>
      <c r="F100" s="4">
        <f>ROUND(Source!X74,O100)</f>
        <v>112140.24</v>
      </c>
      <c r="G100" s="4" t="s">
        <v>65</v>
      </c>
      <c r="H100" s="4" t="s">
        <v>66</v>
      </c>
      <c r="I100" s="4"/>
      <c r="J100" s="4"/>
      <c r="K100" s="4">
        <v>210</v>
      </c>
      <c r="L100" s="4">
        <v>25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112140.24</v>
      </c>
      <c r="X100" s="4">
        <v>1</v>
      </c>
      <c r="Y100" s="4">
        <v>112140.24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211</v>
      </c>
      <c r="F101" s="4">
        <f>ROUND(Source!Y74,O101)</f>
        <v>64066.97</v>
      </c>
      <c r="G101" s="4" t="s">
        <v>67</v>
      </c>
      <c r="H101" s="4" t="s">
        <v>68</v>
      </c>
      <c r="I101" s="4"/>
      <c r="J101" s="4"/>
      <c r="K101" s="4">
        <v>211</v>
      </c>
      <c r="L101" s="4">
        <v>26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64066.97</v>
      </c>
      <c r="X101" s="4">
        <v>1</v>
      </c>
      <c r="Y101" s="4">
        <v>64066.97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224</v>
      </c>
      <c r="F102" s="4">
        <f>ROUND(Source!AR74,O102)</f>
        <v>351490.91</v>
      </c>
      <c r="G102" s="4" t="s">
        <v>69</v>
      </c>
      <c r="H102" s="4" t="s">
        <v>70</v>
      </c>
      <c r="I102" s="4"/>
      <c r="J102" s="4"/>
      <c r="K102" s="4">
        <v>224</v>
      </c>
      <c r="L102" s="4">
        <v>27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351490.91000000003</v>
      </c>
      <c r="X102" s="4">
        <v>1</v>
      </c>
      <c r="Y102" s="4">
        <v>351490.91000000003</v>
      </c>
      <c r="Z102" s="4"/>
      <c r="AA102" s="4"/>
      <c r="AB102" s="4"/>
    </row>
    <row r="104" spans="1:245" x14ac:dyDescent="0.2">
      <c r="A104" s="1">
        <v>4</v>
      </c>
      <c r="B104" s="1">
        <v>1</v>
      </c>
      <c r="C104" s="1"/>
      <c r="D104" s="1">
        <f>ROW(A120)</f>
        <v>120</v>
      </c>
      <c r="E104" s="1"/>
      <c r="F104" s="1" t="s">
        <v>72</v>
      </c>
      <c r="G104" s="1" t="s">
        <v>113</v>
      </c>
      <c r="H104" s="1" t="s">
        <v>3</v>
      </c>
      <c r="I104" s="1">
        <v>0</v>
      </c>
      <c r="J104" s="1"/>
      <c r="K104" s="1">
        <v>0</v>
      </c>
      <c r="L104" s="1"/>
      <c r="M104" s="1" t="s">
        <v>3</v>
      </c>
      <c r="N104" s="1"/>
      <c r="O104" s="1"/>
      <c r="P104" s="1"/>
      <c r="Q104" s="1"/>
      <c r="R104" s="1"/>
      <c r="S104" s="1">
        <v>0</v>
      </c>
      <c r="T104" s="1"/>
      <c r="U104" s="1" t="s">
        <v>3</v>
      </c>
      <c r="V104" s="1">
        <v>0</v>
      </c>
      <c r="W104" s="1"/>
      <c r="X104" s="1"/>
      <c r="Y104" s="1"/>
      <c r="Z104" s="1"/>
      <c r="AA104" s="1"/>
      <c r="AB104" s="1" t="s">
        <v>3</v>
      </c>
      <c r="AC104" s="1" t="s">
        <v>3</v>
      </c>
      <c r="AD104" s="1" t="s">
        <v>3</v>
      </c>
      <c r="AE104" s="1" t="s">
        <v>3</v>
      </c>
      <c r="AF104" s="1" t="s">
        <v>3</v>
      </c>
      <c r="AG104" s="1" t="s">
        <v>3</v>
      </c>
      <c r="AH104" s="1"/>
      <c r="AI104" s="1"/>
      <c r="AJ104" s="1"/>
      <c r="AK104" s="1"/>
      <c r="AL104" s="1"/>
      <c r="AM104" s="1"/>
      <c r="AN104" s="1"/>
      <c r="AO104" s="1"/>
      <c r="AP104" s="1" t="s">
        <v>3</v>
      </c>
      <c r="AQ104" s="1" t="s">
        <v>3</v>
      </c>
      <c r="AR104" s="1" t="s">
        <v>3</v>
      </c>
      <c r="AS104" s="1"/>
      <c r="AT104" s="1"/>
      <c r="AU104" s="1"/>
      <c r="AV104" s="1"/>
      <c r="AW104" s="1"/>
      <c r="AX104" s="1"/>
      <c r="AY104" s="1"/>
      <c r="AZ104" s="1" t="s">
        <v>3</v>
      </c>
      <c r="BA104" s="1"/>
      <c r="BB104" s="1" t="s">
        <v>3</v>
      </c>
      <c r="BC104" s="1" t="s">
        <v>3</v>
      </c>
      <c r="BD104" s="1" t="s">
        <v>3</v>
      </c>
      <c r="BE104" s="1" t="s">
        <v>3</v>
      </c>
      <c r="BF104" s="1" t="s">
        <v>3</v>
      </c>
      <c r="BG104" s="1" t="s">
        <v>3</v>
      </c>
      <c r="BH104" s="1" t="s">
        <v>3</v>
      </c>
      <c r="BI104" s="1" t="s">
        <v>3</v>
      </c>
      <c r="BJ104" s="1" t="s">
        <v>3</v>
      </c>
      <c r="BK104" s="1" t="s">
        <v>3</v>
      </c>
      <c r="BL104" s="1" t="s">
        <v>3</v>
      </c>
      <c r="BM104" s="1" t="s">
        <v>3</v>
      </c>
      <c r="BN104" s="1" t="s">
        <v>3</v>
      </c>
      <c r="BO104" s="1" t="s">
        <v>3</v>
      </c>
      <c r="BP104" s="1" t="s">
        <v>3</v>
      </c>
      <c r="BQ104" s="1"/>
      <c r="BR104" s="1"/>
      <c r="BS104" s="1"/>
      <c r="BT104" s="1"/>
      <c r="BU104" s="1"/>
      <c r="BV104" s="1"/>
      <c r="BW104" s="1"/>
      <c r="BX104" s="1">
        <v>0</v>
      </c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>
        <v>0</v>
      </c>
    </row>
    <row r="106" spans="1:245" x14ac:dyDescent="0.2">
      <c r="A106" s="2">
        <v>52</v>
      </c>
      <c r="B106" s="2">
        <f t="shared" ref="B106:G106" si="55">B120</f>
        <v>1</v>
      </c>
      <c r="C106" s="2">
        <f t="shared" si="55"/>
        <v>4</v>
      </c>
      <c r="D106" s="2">
        <f t="shared" si="55"/>
        <v>104</v>
      </c>
      <c r="E106" s="2">
        <f t="shared" si="55"/>
        <v>0</v>
      </c>
      <c r="F106" s="2" t="str">
        <f t="shared" si="55"/>
        <v>Новый раздел</v>
      </c>
      <c r="G106" s="2" t="str">
        <f t="shared" si="55"/>
        <v>Монтажные работы</v>
      </c>
      <c r="H106" s="2"/>
      <c r="I106" s="2"/>
      <c r="J106" s="2"/>
      <c r="K106" s="2"/>
      <c r="L106" s="2"/>
      <c r="M106" s="2"/>
      <c r="N106" s="2"/>
      <c r="O106" s="2">
        <f t="shared" ref="O106:AT106" si="56">O120</f>
        <v>423775.58</v>
      </c>
      <c r="P106" s="2">
        <f t="shared" si="56"/>
        <v>17438.169999999998</v>
      </c>
      <c r="Q106" s="2">
        <f t="shared" si="56"/>
        <v>147299.60999999999</v>
      </c>
      <c r="R106" s="2">
        <f t="shared" si="56"/>
        <v>58769.17</v>
      </c>
      <c r="S106" s="2">
        <f t="shared" si="56"/>
        <v>200268.63</v>
      </c>
      <c r="T106" s="2">
        <f t="shared" si="56"/>
        <v>0</v>
      </c>
      <c r="U106" s="2">
        <f t="shared" si="56"/>
        <v>427.42200000000003</v>
      </c>
      <c r="V106" s="2">
        <f t="shared" si="56"/>
        <v>107.2787</v>
      </c>
      <c r="W106" s="2">
        <f t="shared" si="56"/>
        <v>0</v>
      </c>
      <c r="X106" s="2">
        <f t="shared" si="56"/>
        <v>262185.53000000003</v>
      </c>
      <c r="Y106" s="2">
        <f t="shared" si="56"/>
        <v>148487.54999999999</v>
      </c>
      <c r="Z106" s="2">
        <f t="shared" si="56"/>
        <v>0</v>
      </c>
      <c r="AA106" s="2">
        <f t="shared" si="56"/>
        <v>0</v>
      </c>
      <c r="AB106" s="2">
        <f t="shared" si="56"/>
        <v>423775.58</v>
      </c>
      <c r="AC106" s="2">
        <f t="shared" si="56"/>
        <v>17438.169999999998</v>
      </c>
      <c r="AD106" s="2">
        <f t="shared" si="56"/>
        <v>147299.60999999999</v>
      </c>
      <c r="AE106" s="2">
        <f t="shared" si="56"/>
        <v>58769.17</v>
      </c>
      <c r="AF106" s="2">
        <f t="shared" si="56"/>
        <v>200268.63</v>
      </c>
      <c r="AG106" s="2">
        <f t="shared" si="56"/>
        <v>0</v>
      </c>
      <c r="AH106" s="2">
        <f t="shared" si="56"/>
        <v>427.42200000000003</v>
      </c>
      <c r="AI106" s="2">
        <f t="shared" si="56"/>
        <v>107.2787</v>
      </c>
      <c r="AJ106" s="2">
        <f t="shared" si="56"/>
        <v>0</v>
      </c>
      <c r="AK106" s="2">
        <f t="shared" si="56"/>
        <v>262185.53000000003</v>
      </c>
      <c r="AL106" s="2">
        <f t="shared" si="56"/>
        <v>148487.54999999999</v>
      </c>
      <c r="AM106" s="2">
        <f t="shared" si="56"/>
        <v>0</v>
      </c>
      <c r="AN106" s="2">
        <f t="shared" si="56"/>
        <v>0</v>
      </c>
      <c r="AO106" s="2">
        <f t="shared" si="56"/>
        <v>0</v>
      </c>
      <c r="AP106" s="2">
        <f t="shared" si="56"/>
        <v>0</v>
      </c>
      <c r="AQ106" s="2">
        <f t="shared" si="56"/>
        <v>0</v>
      </c>
      <c r="AR106" s="2">
        <f t="shared" si="56"/>
        <v>834448.66</v>
      </c>
      <c r="AS106" s="2">
        <f t="shared" si="56"/>
        <v>614314.06000000006</v>
      </c>
      <c r="AT106" s="2">
        <f t="shared" si="56"/>
        <v>220134.6</v>
      </c>
      <c r="AU106" s="2">
        <f t="shared" ref="AU106:BZ106" si="57">AU120</f>
        <v>0</v>
      </c>
      <c r="AV106" s="2">
        <f t="shared" si="57"/>
        <v>17438.169999999998</v>
      </c>
      <c r="AW106" s="2">
        <f t="shared" si="57"/>
        <v>17438.169999999998</v>
      </c>
      <c r="AX106" s="2">
        <f t="shared" si="57"/>
        <v>0</v>
      </c>
      <c r="AY106" s="2">
        <f t="shared" si="57"/>
        <v>17438.169999999998</v>
      </c>
      <c r="AZ106" s="2">
        <f t="shared" si="57"/>
        <v>0</v>
      </c>
      <c r="BA106" s="2">
        <f t="shared" si="57"/>
        <v>0</v>
      </c>
      <c r="BB106" s="2">
        <f t="shared" si="57"/>
        <v>0</v>
      </c>
      <c r="BC106" s="2">
        <f t="shared" si="57"/>
        <v>0</v>
      </c>
      <c r="BD106" s="2">
        <f t="shared" si="57"/>
        <v>0</v>
      </c>
      <c r="BE106" s="2">
        <f t="shared" si="57"/>
        <v>0</v>
      </c>
      <c r="BF106" s="2">
        <f t="shared" si="57"/>
        <v>0</v>
      </c>
      <c r="BG106" s="2">
        <f t="shared" si="57"/>
        <v>0</v>
      </c>
      <c r="BH106" s="2">
        <f t="shared" si="57"/>
        <v>0</v>
      </c>
      <c r="BI106" s="2">
        <f t="shared" si="57"/>
        <v>0</v>
      </c>
      <c r="BJ106" s="2">
        <f t="shared" si="57"/>
        <v>0</v>
      </c>
      <c r="BK106" s="2">
        <f t="shared" si="57"/>
        <v>0</v>
      </c>
      <c r="BL106" s="2">
        <f t="shared" si="57"/>
        <v>0</v>
      </c>
      <c r="BM106" s="2">
        <f t="shared" si="57"/>
        <v>0</v>
      </c>
      <c r="BN106" s="2">
        <f t="shared" si="57"/>
        <v>0</v>
      </c>
      <c r="BO106" s="2">
        <f t="shared" si="57"/>
        <v>0</v>
      </c>
      <c r="BP106" s="2">
        <f t="shared" si="57"/>
        <v>0</v>
      </c>
      <c r="BQ106" s="2">
        <f t="shared" si="57"/>
        <v>0</v>
      </c>
      <c r="BR106" s="2">
        <f t="shared" si="57"/>
        <v>0</v>
      </c>
      <c r="BS106" s="2">
        <f t="shared" si="57"/>
        <v>0</v>
      </c>
      <c r="BT106" s="2">
        <f t="shared" si="57"/>
        <v>0</v>
      </c>
      <c r="BU106" s="2">
        <f t="shared" si="57"/>
        <v>0</v>
      </c>
      <c r="BV106" s="2">
        <f t="shared" si="57"/>
        <v>0</v>
      </c>
      <c r="BW106" s="2">
        <f t="shared" si="57"/>
        <v>0</v>
      </c>
      <c r="BX106" s="2">
        <f t="shared" si="57"/>
        <v>0</v>
      </c>
      <c r="BY106" s="2">
        <f t="shared" si="57"/>
        <v>0</v>
      </c>
      <c r="BZ106" s="2">
        <f t="shared" si="57"/>
        <v>0</v>
      </c>
      <c r="CA106" s="2">
        <f t="shared" ref="CA106:DF106" si="58">CA120</f>
        <v>834448.66</v>
      </c>
      <c r="CB106" s="2">
        <f t="shared" si="58"/>
        <v>614314.06000000006</v>
      </c>
      <c r="CC106" s="2">
        <f t="shared" si="58"/>
        <v>220134.6</v>
      </c>
      <c r="CD106" s="2">
        <f t="shared" si="58"/>
        <v>0</v>
      </c>
      <c r="CE106" s="2">
        <f t="shared" si="58"/>
        <v>17438.169999999998</v>
      </c>
      <c r="CF106" s="2">
        <f t="shared" si="58"/>
        <v>17438.169999999998</v>
      </c>
      <c r="CG106" s="2">
        <f t="shared" si="58"/>
        <v>0</v>
      </c>
      <c r="CH106" s="2">
        <f t="shared" si="58"/>
        <v>17438.169999999998</v>
      </c>
      <c r="CI106" s="2">
        <f t="shared" si="58"/>
        <v>0</v>
      </c>
      <c r="CJ106" s="2">
        <f t="shared" si="58"/>
        <v>0</v>
      </c>
      <c r="CK106" s="2">
        <f t="shared" si="58"/>
        <v>0</v>
      </c>
      <c r="CL106" s="2">
        <f t="shared" si="58"/>
        <v>0</v>
      </c>
      <c r="CM106" s="2">
        <f t="shared" si="58"/>
        <v>0</v>
      </c>
      <c r="CN106" s="2">
        <f t="shared" si="58"/>
        <v>0</v>
      </c>
      <c r="CO106" s="2">
        <f t="shared" si="58"/>
        <v>0</v>
      </c>
      <c r="CP106" s="2">
        <f t="shared" si="58"/>
        <v>0</v>
      </c>
      <c r="CQ106" s="2">
        <f t="shared" si="58"/>
        <v>0</v>
      </c>
      <c r="CR106" s="2">
        <f t="shared" si="58"/>
        <v>0</v>
      </c>
      <c r="CS106" s="2">
        <f t="shared" si="58"/>
        <v>0</v>
      </c>
      <c r="CT106" s="2">
        <f t="shared" si="58"/>
        <v>0</v>
      </c>
      <c r="CU106" s="2">
        <f t="shared" si="58"/>
        <v>0</v>
      </c>
      <c r="CV106" s="2">
        <f t="shared" si="58"/>
        <v>0</v>
      </c>
      <c r="CW106" s="2">
        <f t="shared" si="58"/>
        <v>0</v>
      </c>
      <c r="CX106" s="2">
        <f t="shared" si="58"/>
        <v>0</v>
      </c>
      <c r="CY106" s="2">
        <f t="shared" si="58"/>
        <v>0</v>
      </c>
      <c r="CZ106" s="2">
        <f t="shared" si="58"/>
        <v>0</v>
      </c>
      <c r="DA106" s="2">
        <f t="shared" si="58"/>
        <v>0</v>
      </c>
      <c r="DB106" s="2">
        <f t="shared" si="58"/>
        <v>0</v>
      </c>
      <c r="DC106" s="2">
        <f t="shared" si="58"/>
        <v>0</v>
      </c>
      <c r="DD106" s="2">
        <f t="shared" si="58"/>
        <v>0</v>
      </c>
      <c r="DE106" s="2">
        <f t="shared" si="58"/>
        <v>0</v>
      </c>
      <c r="DF106" s="2">
        <f t="shared" si="58"/>
        <v>0</v>
      </c>
      <c r="DG106" s="3">
        <f t="shared" ref="DG106:EL106" si="59">DG120</f>
        <v>0</v>
      </c>
      <c r="DH106" s="3">
        <f t="shared" si="59"/>
        <v>0</v>
      </c>
      <c r="DI106" s="3">
        <f t="shared" si="59"/>
        <v>0</v>
      </c>
      <c r="DJ106" s="3">
        <f t="shared" si="59"/>
        <v>0</v>
      </c>
      <c r="DK106" s="3">
        <f t="shared" si="59"/>
        <v>0</v>
      </c>
      <c r="DL106" s="3">
        <f t="shared" si="59"/>
        <v>0</v>
      </c>
      <c r="DM106" s="3">
        <f t="shared" si="59"/>
        <v>0</v>
      </c>
      <c r="DN106" s="3">
        <f t="shared" si="59"/>
        <v>0</v>
      </c>
      <c r="DO106" s="3">
        <f t="shared" si="59"/>
        <v>0</v>
      </c>
      <c r="DP106" s="3">
        <f t="shared" si="59"/>
        <v>0</v>
      </c>
      <c r="DQ106" s="3">
        <f t="shared" si="59"/>
        <v>0</v>
      </c>
      <c r="DR106" s="3">
        <f t="shared" si="59"/>
        <v>0</v>
      </c>
      <c r="DS106" s="3">
        <f t="shared" si="59"/>
        <v>0</v>
      </c>
      <c r="DT106" s="3">
        <f t="shared" si="59"/>
        <v>0</v>
      </c>
      <c r="DU106" s="3">
        <f t="shared" si="59"/>
        <v>0</v>
      </c>
      <c r="DV106" s="3">
        <f t="shared" si="59"/>
        <v>0</v>
      </c>
      <c r="DW106" s="3">
        <f t="shared" si="59"/>
        <v>0</v>
      </c>
      <c r="DX106" s="3">
        <f t="shared" si="59"/>
        <v>0</v>
      </c>
      <c r="DY106" s="3">
        <f t="shared" si="59"/>
        <v>0</v>
      </c>
      <c r="DZ106" s="3">
        <f t="shared" si="59"/>
        <v>0</v>
      </c>
      <c r="EA106" s="3">
        <f t="shared" si="59"/>
        <v>0</v>
      </c>
      <c r="EB106" s="3">
        <f t="shared" si="59"/>
        <v>0</v>
      </c>
      <c r="EC106" s="3">
        <f t="shared" si="59"/>
        <v>0</v>
      </c>
      <c r="ED106" s="3">
        <f t="shared" si="59"/>
        <v>0</v>
      </c>
      <c r="EE106" s="3">
        <f t="shared" si="59"/>
        <v>0</v>
      </c>
      <c r="EF106" s="3">
        <f t="shared" si="59"/>
        <v>0</v>
      </c>
      <c r="EG106" s="3">
        <f t="shared" si="59"/>
        <v>0</v>
      </c>
      <c r="EH106" s="3">
        <f t="shared" si="59"/>
        <v>0</v>
      </c>
      <c r="EI106" s="3">
        <f t="shared" si="59"/>
        <v>0</v>
      </c>
      <c r="EJ106" s="3">
        <f t="shared" si="59"/>
        <v>0</v>
      </c>
      <c r="EK106" s="3">
        <f t="shared" si="59"/>
        <v>0</v>
      </c>
      <c r="EL106" s="3">
        <f t="shared" si="59"/>
        <v>0</v>
      </c>
      <c r="EM106" s="3">
        <f t="shared" ref="EM106:FR106" si="60">EM120</f>
        <v>0</v>
      </c>
      <c r="EN106" s="3">
        <f t="shared" si="60"/>
        <v>0</v>
      </c>
      <c r="EO106" s="3">
        <f t="shared" si="60"/>
        <v>0</v>
      </c>
      <c r="EP106" s="3">
        <f t="shared" si="60"/>
        <v>0</v>
      </c>
      <c r="EQ106" s="3">
        <f t="shared" si="60"/>
        <v>0</v>
      </c>
      <c r="ER106" s="3">
        <f t="shared" si="60"/>
        <v>0</v>
      </c>
      <c r="ES106" s="3">
        <f t="shared" si="60"/>
        <v>0</v>
      </c>
      <c r="ET106" s="3">
        <f t="shared" si="60"/>
        <v>0</v>
      </c>
      <c r="EU106" s="3">
        <f t="shared" si="60"/>
        <v>0</v>
      </c>
      <c r="EV106" s="3">
        <f t="shared" si="60"/>
        <v>0</v>
      </c>
      <c r="EW106" s="3">
        <f t="shared" si="60"/>
        <v>0</v>
      </c>
      <c r="EX106" s="3">
        <f t="shared" si="60"/>
        <v>0</v>
      </c>
      <c r="EY106" s="3">
        <f t="shared" si="60"/>
        <v>0</v>
      </c>
      <c r="EZ106" s="3">
        <f t="shared" si="60"/>
        <v>0</v>
      </c>
      <c r="FA106" s="3">
        <f t="shared" si="60"/>
        <v>0</v>
      </c>
      <c r="FB106" s="3">
        <f t="shared" si="60"/>
        <v>0</v>
      </c>
      <c r="FC106" s="3">
        <f t="shared" si="60"/>
        <v>0</v>
      </c>
      <c r="FD106" s="3">
        <f t="shared" si="60"/>
        <v>0</v>
      </c>
      <c r="FE106" s="3">
        <f t="shared" si="60"/>
        <v>0</v>
      </c>
      <c r="FF106" s="3">
        <f t="shared" si="60"/>
        <v>0</v>
      </c>
      <c r="FG106" s="3">
        <f t="shared" si="60"/>
        <v>0</v>
      </c>
      <c r="FH106" s="3">
        <f t="shared" si="60"/>
        <v>0</v>
      </c>
      <c r="FI106" s="3">
        <f t="shared" si="60"/>
        <v>0</v>
      </c>
      <c r="FJ106" s="3">
        <f t="shared" si="60"/>
        <v>0</v>
      </c>
      <c r="FK106" s="3">
        <f t="shared" si="60"/>
        <v>0</v>
      </c>
      <c r="FL106" s="3">
        <f t="shared" si="60"/>
        <v>0</v>
      </c>
      <c r="FM106" s="3">
        <f t="shared" si="60"/>
        <v>0</v>
      </c>
      <c r="FN106" s="3">
        <f t="shared" si="60"/>
        <v>0</v>
      </c>
      <c r="FO106" s="3">
        <f t="shared" si="60"/>
        <v>0</v>
      </c>
      <c r="FP106" s="3">
        <f t="shared" si="60"/>
        <v>0</v>
      </c>
      <c r="FQ106" s="3">
        <f t="shared" si="60"/>
        <v>0</v>
      </c>
      <c r="FR106" s="3">
        <f t="shared" si="60"/>
        <v>0</v>
      </c>
      <c r="FS106" s="3">
        <f t="shared" ref="FS106:GX106" si="61">FS120</f>
        <v>0</v>
      </c>
      <c r="FT106" s="3">
        <f t="shared" si="61"/>
        <v>0</v>
      </c>
      <c r="FU106" s="3">
        <f t="shared" si="61"/>
        <v>0</v>
      </c>
      <c r="FV106" s="3">
        <f t="shared" si="61"/>
        <v>0</v>
      </c>
      <c r="FW106" s="3">
        <f t="shared" si="61"/>
        <v>0</v>
      </c>
      <c r="FX106" s="3">
        <f t="shared" si="61"/>
        <v>0</v>
      </c>
      <c r="FY106" s="3">
        <f t="shared" si="61"/>
        <v>0</v>
      </c>
      <c r="FZ106" s="3">
        <f t="shared" si="61"/>
        <v>0</v>
      </c>
      <c r="GA106" s="3">
        <f t="shared" si="61"/>
        <v>0</v>
      </c>
      <c r="GB106" s="3">
        <f t="shared" si="61"/>
        <v>0</v>
      </c>
      <c r="GC106" s="3">
        <f t="shared" si="61"/>
        <v>0</v>
      </c>
      <c r="GD106" s="3">
        <f t="shared" si="61"/>
        <v>0</v>
      </c>
      <c r="GE106" s="3">
        <f t="shared" si="61"/>
        <v>0</v>
      </c>
      <c r="GF106" s="3">
        <f t="shared" si="61"/>
        <v>0</v>
      </c>
      <c r="GG106" s="3">
        <f t="shared" si="61"/>
        <v>0</v>
      </c>
      <c r="GH106" s="3">
        <f t="shared" si="61"/>
        <v>0</v>
      </c>
      <c r="GI106" s="3">
        <f t="shared" si="61"/>
        <v>0</v>
      </c>
      <c r="GJ106" s="3">
        <f t="shared" si="61"/>
        <v>0</v>
      </c>
      <c r="GK106" s="3">
        <f t="shared" si="61"/>
        <v>0</v>
      </c>
      <c r="GL106" s="3">
        <f t="shared" si="61"/>
        <v>0</v>
      </c>
      <c r="GM106" s="3">
        <f t="shared" si="61"/>
        <v>0</v>
      </c>
      <c r="GN106" s="3">
        <f t="shared" si="61"/>
        <v>0</v>
      </c>
      <c r="GO106" s="3">
        <f t="shared" si="61"/>
        <v>0</v>
      </c>
      <c r="GP106" s="3">
        <f t="shared" si="61"/>
        <v>0</v>
      </c>
      <c r="GQ106" s="3">
        <f t="shared" si="61"/>
        <v>0</v>
      </c>
      <c r="GR106" s="3">
        <f t="shared" si="61"/>
        <v>0</v>
      </c>
      <c r="GS106" s="3">
        <f t="shared" si="61"/>
        <v>0</v>
      </c>
      <c r="GT106" s="3">
        <f t="shared" si="61"/>
        <v>0</v>
      </c>
      <c r="GU106" s="3">
        <f t="shared" si="61"/>
        <v>0</v>
      </c>
      <c r="GV106" s="3">
        <f t="shared" si="61"/>
        <v>0</v>
      </c>
      <c r="GW106" s="3">
        <f t="shared" si="61"/>
        <v>0</v>
      </c>
      <c r="GX106" s="3">
        <f t="shared" si="61"/>
        <v>0</v>
      </c>
    </row>
    <row r="108" spans="1:245" x14ac:dyDescent="0.2">
      <c r="A108">
        <v>17</v>
      </c>
      <c r="B108">
        <v>1</v>
      </c>
      <c r="C108">
        <f>ROW(SmtRes!A67)</f>
        <v>67</v>
      </c>
      <c r="D108">
        <f>ROW(EtalonRes!A67)</f>
        <v>67</v>
      </c>
      <c r="E108" t="s">
        <v>137</v>
      </c>
      <c r="F108" t="s">
        <v>85</v>
      </c>
      <c r="G108" t="s">
        <v>138</v>
      </c>
      <c r="H108" t="s">
        <v>77</v>
      </c>
      <c r="I108">
        <v>44</v>
      </c>
      <c r="J108">
        <v>0</v>
      </c>
      <c r="K108">
        <v>44</v>
      </c>
      <c r="O108">
        <f t="shared" ref="O108:O118" si="62">ROUND(CP108,2)</f>
        <v>42684.11</v>
      </c>
      <c r="P108">
        <f>SUMIF(SmtRes!AQ63:'SmtRes'!AQ67,"=1",SmtRes!DF63:'SmtRes'!DF67)</f>
        <v>0</v>
      </c>
      <c r="Q108">
        <f>SUMIF(SmtRes!AQ63:'SmtRes'!AQ67,"=1",SmtRes!DG63:'SmtRes'!DG67)</f>
        <v>22465.98</v>
      </c>
      <c r="R108">
        <f>SUMIF(SmtRes!AQ63:'SmtRes'!AQ67,"=1",SmtRes!DH63:'SmtRes'!DH67)</f>
        <v>12138.619999999999</v>
      </c>
      <c r="S108">
        <f>SUMIF(SmtRes!AQ63:'SmtRes'!AQ67,"=1",SmtRes!DI63:'SmtRes'!DI67)</f>
        <v>8079.51</v>
      </c>
      <c r="T108">
        <f t="shared" ref="T108:T118" si="63">ROUND(CU108*I108,2)</f>
        <v>0</v>
      </c>
      <c r="U108">
        <f>SUMIF(SmtRes!AQ63:'SmtRes'!AQ67,"=1",SmtRes!CV63:'SmtRes'!CV67)</f>
        <v>19.36</v>
      </c>
      <c r="V108">
        <f>SUMIF(SmtRes!AQ63:'SmtRes'!AQ67,"=1",SmtRes!CW63:'SmtRes'!CW67)</f>
        <v>21.12</v>
      </c>
      <c r="W108">
        <f t="shared" ref="W108:W118" si="64">ROUND(CX108*I108,2)</f>
        <v>0</v>
      </c>
      <c r="X108">
        <f t="shared" ref="X108:X118" si="65">ROUND(CY108,2)</f>
        <v>20824.669999999998</v>
      </c>
      <c r="Y108">
        <f t="shared" ref="Y108:Y118" si="66">ROUND(CZ108,2)</f>
        <v>12130.88</v>
      </c>
      <c r="AA108">
        <v>65178645</v>
      </c>
      <c r="AB108">
        <f t="shared" ref="AB108:AB118" si="67">ROUND((AC108+AD108+AF108),6)</f>
        <v>675.69</v>
      </c>
      <c r="AC108">
        <f>ROUND((0),6)</f>
        <v>0</v>
      </c>
      <c r="AD108">
        <f>ROUND((((SUM(SmtRes!BR63:'SmtRes'!BR67))-(SUM(SmtRes!BS63:'SmtRes'!BS67)))+AE108),6)</f>
        <v>492.06479999999999</v>
      </c>
      <c r="AE108">
        <f>ROUND((SUM(SmtRes!BS63:'SmtRes'!BS67)),6)</f>
        <v>275.87759999999997</v>
      </c>
      <c r="AF108">
        <f>ROUND((SUM(SmtRes!BT63:'SmtRes'!BT67)),6)</f>
        <v>183.62520000000001</v>
      </c>
      <c r="AG108">
        <f t="shared" ref="AG108:AG118" si="68">ROUND((AP108),6)</f>
        <v>0</v>
      </c>
      <c r="AH108">
        <f>(SUM(SmtRes!BU63:'SmtRes'!BU67))</f>
        <v>0.44</v>
      </c>
      <c r="AI108">
        <f>(SUM(SmtRes!BV63:'SmtRes'!BV67))</f>
        <v>0.48</v>
      </c>
      <c r="AJ108">
        <f t="shared" ref="AJ108:AJ118" si="69">(AS108)</f>
        <v>0</v>
      </c>
      <c r="AK108">
        <v>951.56760000000008</v>
      </c>
      <c r="AL108">
        <v>0</v>
      </c>
      <c r="AM108">
        <v>492.06479999999999</v>
      </c>
      <c r="AN108">
        <v>275.87760000000003</v>
      </c>
      <c r="AO108">
        <v>183.62520000000001</v>
      </c>
      <c r="AP108">
        <v>0</v>
      </c>
      <c r="AQ108">
        <v>0.44</v>
      </c>
      <c r="AR108">
        <v>0.48</v>
      </c>
      <c r="AS108">
        <v>0</v>
      </c>
      <c r="AT108">
        <v>103</v>
      </c>
      <c r="AU108">
        <v>60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1</v>
      </c>
      <c r="BJ108" t="s">
        <v>87</v>
      </c>
      <c r="BM108">
        <v>33001</v>
      </c>
      <c r="BN108">
        <v>0</v>
      </c>
      <c r="BO108" t="s">
        <v>3</v>
      </c>
      <c r="BP108">
        <v>0</v>
      </c>
      <c r="BQ108">
        <v>2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103</v>
      </c>
      <c r="CA108">
        <v>60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ref="CP108:CP118" si="70">(P108+Q108+S108+R108)</f>
        <v>42684.11</v>
      </c>
      <c r="CQ108">
        <f>SUMIF(SmtRes!AQ63:'SmtRes'!AQ67,"=1",SmtRes!AA63:'SmtRes'!AA67)</f>
        <v>0</v>
      </c>
      <c r="CR108">
        <f>SUMIF(SmtRes!AQ63:'SmtRes'!AQ67,"=1",SmtRes!AB63:'SmtRes'!AB67)</f>
        <v>2127.46</v>
      </c>
      <c r="CS108">
        <f>SUMIF(SmtRes!AQ63:'SmtRes'!AQ67,"=1",SmtRes!AC63:'SmtRes'!AC67)</f>
        <v>1149.49</v>
      </c>
      <c r="CT108">
        <f>SUMIF(SmtRes!AQ63:'SmtRes'!AQ67,"=1",SmtRes!AD63:'SmtRes'!AD67)</f>
        <v>417.33</v>
      </c>
      <c r="CU108">
        <f t="shared" ref="CU108:CU118" si="71">AG108</f>
        <v>0</v>
      </c>
      <c r="CV108">
        <f>SUMIF(SmtRes!AQ63:'SmtRes'!AQ67,"=1",SmtRes!BU63:'SmtRes'!BU67)</f>
        <v>0.44</v>
      </c>
      <c r="CW108">
        <f>SUMIF(SmtRes!AQ63:'SmtRes'!AQ67,"=1",SmtRes!BV63:'SmtRes'!BV67)</f>
        <v>0.48</v>
      </c>
      <c r="CX108">
        <f t="shared" ref="CX108:CX118" si="72">AJ108</f>
        <v>0</v>
      </c>
      <c r="CY108">
        <f t="shared" ref="CY108:CY118" si="73">(((S108+R108)*AT108)/100)</f>
        <v>20824.673899999998</v>
      </c>
      <c r="CZ108">
        <f t="shared" ref="CZ108:CZ118" si="74">(((S108+R108)*AU108)/100)</f>
        <v>12130.877999999999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1013</v>
      </c>
      <c r="DV108" t="s">
        <v>77</v>
      </c>
      <c r="DW108" t="s">
        <v>77</v>
      </c>
      <c r="DX108">
        <v>1</v>
      </c>
      <c r="DZ108" t="s">
        <v>3</v>
      </c>
      <c r="EA108" t="s">
        <v>3</v>
      </c>
      <c r="EB108" t="s">
        <v>3</v>
      </c>
      <c r="EC108" t="s">
        <v>3</v>
      </c>
      <c r="EE108">
        <v>64851056</v>
      </c>
      <c r="EF108">
        <v>2</v>
      </c>
      <c r="EG108" t="s">
        <v>79</v>
      </c>
      <c r="EH108">
        <v>27</v>
      </c>
      <c r="EI108" t="s">
        <v>80</v>
      </c>
      <c r="EJ108">
        <v>1</v>
      </c>
      <c r="EK108">
        <v>33001</v>
      </c>
      <c r="EL108" t="s">
        <v>80</v>
      </c>
      <c r="EM108" t="s">
        <v>81</v>
      </c>
      <c r="EO108" t="s">
        <v>3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0.44</v>
      </c>
      <c r="EX108">
        <v>0.48</v>
      </c>
      <c r="EY108">
        <v>0</v>
      </c>
      <c r="FQ108">
        <v>0</v>
      </c>
      <c r="FR108">
        <f t="shared" ref="FR108:FR118" si="75">ROUND(IF(BI108=3,GM108,0),2)</f>
        <v>0</v>
      </c>
      <c r="FS108">
        <v>0</v>
      </c>
      <c r="FX108">
        <v>103</v>
      </c>
      <c r="FY108">
        <v>60</v>
      </c>
      <c r="GA108" t="s">
        <v>3</v>
      </c>
      <c r="GD108">
        <v>1</v>
      </c>
      <c r="GF108">
        <v>1964897834</v>
      </c>
      <c r="GG108">
        <v>2</v>
      </c>
      <c r="GH108">
        <v>1</v>
      </c>
      <c r="GI108">
        <v>-2</v>
      </c>
      <c r="GJ108">
        <v>0</v>
      </c>
      <c r="GK108">
        <v>0</v>
      </c>
      <c r="GL108">
        <f t="shared" ref="GL108:GL118" si="76">ROUND(IF(AND(BH108=3,BI108=3,FS108&lt;&gt;0),P108,0),2)</f>
        <v>0</v>
      </c>
      <c r="GM108">
        <f t="shared" ref="GM108:GM118" si="77">ROUND(O108+X108+Y108,2)+GX108</f>
        <v>75639.66</v>
      </c>
      <c r="GN108">
        <f t="shared" ref="GN108:GN118" si="78">IF(OR(BI108=0,BI108=1),GM108-GX108,0)</f>
        <v>75639.66</v>
      </c>
      <c r="GO108">
        <f t="shared" ref="GO108:GO118" si="79">IF(BI108=2,GM108-GX108,0)</f>
        <v>0</v>
      </c>
      <c r="GP108">
        <f t="shared" ref="GP108:GP118" si="80">IF(BI108=4,GM108-GX108,0)</f>
        <v>0</v>
      </c>
      <c r="GR108">
        <v>0</v>
      </c>
      <c r="GS108">
        <v>0</v>
      </c>
      <c r="GT108">
        <v>0</v>
      </c>
      <c r="GU108" t="s">
        <v>3</v>
      </c>
      <c r="GV108">
        <f t="shared" ref="GV108:GV118" si="81">ROUND((GT108),6)</f>
        <v>0</v>
      </c>
      <c r="GW108">
        <v>1</v>
      </c>
      <c r="GX108">
        <f t="shared" ref="GX108:GX118" si="82">ROUND(HC108*I108,2)</f>
        <v>0</v>
      </c>
      <c r="HA108">
        <v>0</v>
      </c>
      <c r="HB108">
        <v>0</v>
      </c>
      <c r="HC108">
        <f t="shared" ref="HC108:HC118" si="83">GV108*GW108</f>
        <v>0</v>
      </c>
      <c r="HE108" t="s">
        <v>3</v>
      </c>
      <c r="HF108" t="s">
        <v>3</v>
      </c>
      <c r="HM108" t="s">
        <v>3</v>
      </c>
      <c r="HN108" t="s">
        <v>82</v>
      </c>
      <c r="HO108" t="s">
        <v>83</v>
      </c>
      <c r="HP108" t="s">
        <v>80</v>
      </c>
      <c r="HQ108" t="s">
        <v>80</v>
      </c>
      <c r="IK108">
        <v>0</v>
      </c>
    </row>
    <row r="109" spans="1:245" x14ac:dyDescent="0.2">
      <c r="A109">
        <v>17</v>
      </c>
      <c r="B109">
        <v>1</v>
      </c>
      <c r="C109">
        <f>ROW(SmtRes!A71)</f>
        <v>71</v>
      </c>
      <c r="D109">
        <f>ROW(EtalonRes!A71)</f>
        <v>71</v>
      </c>
      <c r="E109" t="s">
        <v>139</v>
      </c>
      <c r="F109" t="s">
        <v>89</v>
      </c>
      <c r="G109" t="s">
        <v>140</v>
      </c>
      <c r="H109" t="s">
        <v>77</v>
      </c>
      <c r="I109">
        <v>44</v>
      </c>
      <c r="J109">
        <v>0</v>
      </c>
      <c r="K109">
        <v>44</v>
      </c>
      <c r="O109">
        <f t="shared" si="62"/>
        <v>11162.25</v>
      </c>
      <c r="P109">
        <f>SUMIF(SmtRes!AQ68:'SmtRes'!AQ71,"=1",SmtRes!DF68:'SmtRes'!DF71)</f>
        <v>0</v>
      </c>
      <c r="Q109">
        <f>SUMIF(SmtRes!AQ68:'SmtRes'!AQ71,"=1",SmtRes!DG68:'SmtRes'!DG71)</f>
        <v>3549.83</v>
      </c>
      <c r="R109">
        <f>SUMIF(SmtRes!AQ68:'SmtRes'!AQ71,"=1",SmtRes!DH68:'SmtRes'!DH71)</f>
        <v>3021.79</v>
      </c>
      <c r="S109">
        <f>SUMIF(SmtRes!AQ68:'SmtRes'!AQ71,"=1",SmtRes!DI68:'SmtRes'!DI71)</f>
        <v>4590.63</v>
      </c>
      <c r="T109">
        <f t="shared" si="63"/>
        <v>0</v>
      </c>
      <c r="U109">
        <f>SUMIF(SmtRes!AQ68:'SmtRes'!AQ71,"=1",SmtRes!CV68:'SmtRes'!CV71)</f>
        <v>11</v>
      </c>
      <c r="V109">
        <f>SUMIF(SmtRes!AQ68:'SmtRes'!AQ71,"=1",SmtRes!CW68:'SmtRes'!CW71)</f>
        <v>6.16</v>
      </c>
      <c r="W109">
        <f t="shared" si="64"/>
        <v>0</v>
      </c>
      <c r="X109">
        <f t="shared" si="65"/>
        <v>7840.79</v>
      </c>
      <c r="Y109">
        <f t="shared" si="66"/>
        <v>4567.45</v>
      </c>
      <c r="AA109">
        <v>65178645</v>
      </c>
      <c r="AB109">
        <f t="shared" si="67"/>
        <v>174.2037</v>
      </c>
      <c r="AC109">
        <f>ROUND((0),6)</f>
        <v>0</v>
      </c>
      <c r="AD109">
        <f>ROUND((((SUM(SmtRes!BR68:'SmtRes'!BR71))-(SUM(SmtRes!BS68:'SmtRes'!BS71)))+AE109),6)</f>
        <v>69.871200000000002</v>
      </c>
      <c r="AE109">
        <f>ROUND((SUM(SmtRes!BS68:'SmtRes'!BS71)),6)</f>
        <v>68.677000000000007</v>
      </c>
      <c r="AF109">
        <f>ROUND((SUM(SmtRes!BT68:'SmtRes'!BT71)),6)</f>
        <v>104.3325</v>
      </c>
      <c r="AG109">
        <f t="shared" si="68"/>
        <v>0</v>
      </c>
      <c r="AH109">
        <f>(SUM(SmtRes!BU68:'SmtRes'!BU71))</f>
        <v>0.25</v>
      </c>
      <c r="AI109">
        <f>(SUM(SmtRes!BV68:'SmtRes'!BV71))</f>
        <v>0.14000000000000001</v>
      </c>
      <c r="AJ109">
        <f t="shared" si="69"/>
        <v>0</v>
      </c>
      <c r="AK109">
        <v>242.88070000000005</v>
      </c>
      <c r="AL109">
        <v>0</v>
      </c>
      <c r="AM109">
        <v>69.871200000000016</v>
      </c>
      <c r="AN109">
        <v>68.677000000000007</v>
      </c>
      <c r="AO109">
        <v>104.3325</v>
      </c>
      <c r="AP109">
        <v>0</v>
      </c>
      <c r="AQ109">
        <v>0.25</v>
      </c>
      <c r="AR109">
        <v>0.14000000000000001</v>
      </c>
      <c r="AS109">
        <v>0</v>
      </c>
      <c r="AT109">
        <v>103</v>
      </c>
      <c r="AU109">
        <v>60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0</v>
      </c>
      <c r="BI109">
        <v>1</v>
      </c>
      <c r="BJ109" t="s">
        <v>91</v>
      </c>
      <c r="BM109">
        <v>33001</v>
      </c>
      <c r="BN109">
        <v>0</v>
      </c>
      <c r="BO109" t="s">
        <v>3</v>
      </c>
      <c r="BP109">
        <v>0</v>
      </c>
      <c r="BQ109">
        <v>2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103</v>
      </c>
      <c r="CA109">
        <v>60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70"/>
        <v>11162.25</v>
      </c>
      <c r="CQ109">
        <f>SUMIF(SmtRes!AQ68:'SmtRes'!AQ71,"=1",SmtRes!AA68:'SmtRes'!AA71)</f>
        <v>0</v>
      </c>
      <c r="CR109">
        <f>SUMIF(SmtRes!AQ68:'SmtRes'!AQ71,"=1",SmtRes!AB68:'SmtRes'!AB71)</f>
        <v>576.27</v>
      </c>
      <c r="CS109">
        <f>SUMIF(SmtRes!AQ68:'SmtRes'!AQ71,"=1",SmtRes!AC68:'SmtRes'!AC71)</f>
        <v>490.55</v>
      </c>
      <c r="CT109">
        <f>SUMIF(SmtRes!AQ68:'SmtRes'!AQ71,"=1",SmtRes!AD68:'SmtRes'!AD71)</f>
        <v>417.33</v>
      </c>
      <c r="CU109">
        <f t="shared" si="71"/>
        <v>0</v>
      </c>
      <c r="CV109">
        <f>SUMIF(SmtRes!AQ68:'SmtRes'!AQ71,"=1",SmtRes!BU68:'SmtRes'!BU71)</f>
        <v>0.25</v>
      </c>
      <c r="CW109">
        <f>SUMIF(SmtRes!AQ68:'SmtRes'!AQ71,"=1",SmtRes!BV68:'SmtRes'!BV71)</f>
        <v>0.14000000000000001</v>
      </c>
      <c r="CX109">
        <f t="shared" si="72"/>
        <v>0</v>
      </c>
      <c r="CY109">
        <f t="shared" si="73"/>
        <v>7840.7925999999998</v>
      </c>
      <c r="CZ109">
        <f t="shared" si="74"/>
        <v>4567.4520000000002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1013</v>
      </c>
      <c r="DV109" t="s">
        <v>77</v>
      </c>
      <c r="DW109" t="s">
        <v>77</v>
      </c>
      <c r="DX109">
        <v>1</v>
      </c>
      <c r="DZ109" t="s">
        <v>3</v>
      </c>
      <c r="EA109" t="s">
        <v>3</v>
      </c>
      <c r="EB109" t="s">
        <v>3</v>
      </c>
      <c r="EC109" t="s">
        <v>3</v>
      </c>
      <c r="EE109">
        <v>64851056</v>
      </c>
      <c r="EF109">
        <v>2</v>
      </c>
      <c r="EG109" t="s">
        <v>79</v>
      </c>
      <c r="EH109">
        <v>27</v>
      </c>
      <c r="EI109" t="s">
        <v>80</v>
      </c>
      <c r="EJ109">
        <v>1</v>
      </c>
      <c r="EK109">
        <v>33001</v>
      </c>
      <c r="EL109" t="s">
        <v>80</v>
      </c>
      <c r="EM109" t="s">
        <v>81</v>
      </c>
      <c r="EO109" t="s">
        <v>3</v>
      </c>
      <c r="EQ109">
        <v>0</v>
      </c>
      <c r="ER109">
        <v>0</v>
      </c>
      <c r="ES109">
        <v>0</v>
      </c>
      <c r="ET109">
        <v>0</v>
      </c>
      <c r="EU109">
        <v>0</v>
      </c>
      <c r="EV109">
        <v>0</v>
      </c>
      <c r="EW109">
        <v>0.25</v>
      </c>
      <c r="EX109">
        <v>0.14000000000000001</v>
      </c>
      <c r="EY109">
        <v>0</v>
      </c>
      <c r="FQ109">
        <v>0</v>
      </c>
      <c r="FR109">
        <f t="shared" si="75"/>
        <v>0</v>
      </c>
      <c r="FS109">
        <v>0</v>
      </c>
      <c r="FX109">
        <v>103</v>
      </c>
      <c r="FY109">
        <v>60</v>
      </c>
      <c r="GA109" t="s">
        <v>3</v>
      </c>
      <c r="GD109">
        <v>1</v>
      </c>
      <c r="GF109">
        <v>1071421144</v>
      </c>
      <c r="GG109">
        <v>2</v>
      </c>
      <c r="GH109">
        <v>1</v>
      </c>
      <c r="GI109">
        <v>-2</v>
      </c>
      <c r="GJ109">
        <v>0</v>
      </c>
      <c r="GK109">
        <v>0</v>
      </c>
      <c r="GL109">
        <f t="shared" si="76"/>
        <v>0</v>
      </c>
      <c r="GM109">
        <f t="shared" si="77"/>
        <v>23570.49</v>
      </c>
      <c r="GN109">
        <f t="shared" si="78"/>
        <v>23570.49</v>
      </c>
      <c r="GO109">
        <f t="shared" si="79"/>
        <v>0</v>
      </c>
      <c r="GP109">
        <f t="shared" si="80"/>
        <v>0</v>
      </c>
      <c r="GR109">
        <v>0</v>
      </c>
      <c r="GS109">
        <v>0</v>
      </c>
      <c r="GT109">
        <v>0</v>
      </c>
      <c r="GU109" t="s">
        <v>3</v>
      </c>
      <c r="GV109">
        <f t="shared" si="81"/>
        <v>0</v>
      </c>
      <c r="GW109">
        <v>1</v>
      </c>
      <c r="GX109">
        <f t="shared" si="82"/>
        <v>0</v>
      </c>
      <c r="HA109">
        <v>0</v>
      </c>
      <c r="HB109">
        <v>0</v>
      </c>
      <c r="HC109">
        <f t="shared" si="83"/>
        <v>0</v>
      </c>
      <c r="HE109" t="s">
        <v>3</v>
      </c>
      <c r="HF109" t="s">
        <v>3</v>
      </c>
      <c r="HM109" t="s">
        <v>3</v>
      </c>
      <c r="HN109" t="s">
        <v>82</v>
      </c>
      <c r="HO109" t="s">
        <v>83</v>
      </c>
      <c r="HP109" t="s">
        <v>80</v>
      </c>
      <c r="HQ109" t="s">
        <v>80</v>
      </c>
      <c r="IK109">
        <v>0</v>
      </c>
    </row>
    <row r="110" spans="1:245" x14ac:dyDescent="0.2">
      <c r="A110">
        <v>17</v>
      </c>
      <c r="B110">
        <v>1</v>
      </c>
      <c r="C110">
        <f>ROW(SmtRes!A89)</f>
        <v>89</v>
      </c>
      <c r="D110">
        <f>ROW(EtalonRes!A89)</f>
        <v>89</v>
      </c>
      <c r="E110" t="s">
        <v>141</v>
      </c>
      <c r="F110" t="s">
        <v>142</v>
      </c>
      <c r="G110" t="s">
        <v>143</v>
      </c>
      <c r="H110" t="s">
        <v>77</v>
      </c>
      <c r="I110">
        <v>20</v>
      </c>
      <c r="J110">
        <v>0</v>
      </c>
      <c r="K110">
        <v>20</v>
      </c>
      <c r="O110">
        <f t="shared" si="62"/>
        <v>77252.7</v>
      </c>
      <c r="P110">
        <f>SUMIF(SmtRes!AQ72:'SmtRes'!AQ89,"=1",SmtRes!DF72:'SmtRes'!DF89)</f>
        <v>3198</v>
      </c>
      <c r="Q110">
        <f>SUMIF(SmtRes!AQ72:'SmtRes'!AQ89,"=1",SmtRes!DG72:'SmtRes'!DG89)</f>
        <v>36854.339999999997</v>
      </c>
      <c r="R110">
        <f>SUMIF(SmtRes!AQ72:'SmtRes'!AQ89,"=1",SmtRes!DH72:'SmtRes'!DH89)</f>
        <v>9531.23</v>
      </c>
      <c r="S110">
        <f>SUMIF(SmtRes!AQ72:'SmtRes'!AQ89,"=1",SmtRes!DI72:'SmtRes'!DI89)</f>
        <v>27669.13</v>
      </c>
      <c r="T110">
        <f t="shared" si="63"/>
        <v>0</v>
      </c>
      <c r="U110">
        <f>SUMIF(SmtRes!AQ72:'SmtRes'!AQ89,"=1",SmtRes!CV72:'SmtRes'!CV89)</f>
        <v>61.2</v>
      </c>
      <c r="V110">
        <f>SUMIF(SmtRes!AQ72:'SmtRes'!AQ89,"=1",SmtRes!CW72:'SmtRes'!CW89)</f>
        <v>17.399999999999999</v>
      </c>
      <c r="W110">
        <f t="shared" si="64"/>
        <v>0</v>
      </c>
      <c r="X110">
        <f t="shared" si="65"/>
        <v>38316.370000000003</v>
      </c>
      <c r="Y110">
        <f t="shared" si="66"/>
        <v>22320.22</v>
      </c>
      <c r="AA110">
        <v>65178645</v>
      </c>
      <c r="AB110">
        <f t="shared" si="67"/>
        <v>3015.744154</v>
      </c>
      <c r="AC110">
        <f>ROUND((SUM(SmtRes!BQ72:'SmtRes'!BQ89)),6)</f>
        <v>121.11915399999999</v>
      </c>
      <c r="AD110">
        <f>ROUND((((SUM(SmtRes!BR72:'SmtRes'!BR89))-(SUM(SmtRes!BS72:'SmtRes'!BS89)))+AE110),6)</f>
        <v>1511.1684</v>
      </c>
      <c r="AE110">
        <f>ROUND((SUM(SmtRes!BS72:'SmtRes'!BS89)),6)</f>
        <v>476.56130000000002</v>
      </c>
      <c r="AF110">
        <f>ROUND((SUM(SmtRes!BT72:'SmtRes'!BT89)),6)</f>
        <v>1383.4566</v>
      </c>
      <c r="AG110">
        <f t="shared" si="68"/>
        <v>0</v>
      </c>
      <c r="AH110">
        <f>(SUM(SmtRes!BU72:'SmtRes'!BU89))</f>
        <v>3.06</v>
      </c>
      <c r="AI110">
        <f>(SUM(SmtRes!BV72:'SmtRes'!BV89))</f>
        <v>0.87000000000000011</v>
      </c>
      <c r="AJ110">
        <f t="shared" si="69"/>
        <v>0</v>
      </c>
      <c r="AK110">
        <v>3492.3054539999998</v>
      </c>
      <c r="AL110">
        <v>121.11915400000001</v>
      </c>
      <c r="AM110">
        <v>1511.1684</v>
      </c>
      <c r="AN110">
        <v>476.56130000000002</v>
      </c>
      <c r="AO110">
        <v>1383.4566</v>
      </c>
      <c r="AP110">
        <v>0</v>
      </c>
      <c r="AQ110">
        <v>3.06</v>
      </c>
      <c r="AR110">
        <v>0.87000000000000011</v>
      </c>
      <c r="AS110">
        <v>0</v>
      </c>
      <c r="AT110">
        <v>103</v>
      </c>
      <c r="AU110">
        <v>60</v>
      </c>
      <c r="AV110">
        <v>1</v>
      </c>
      <c r="AW110">
        <v>1</v>
      </c>
      <c r="AZ110">
        <v>1</v>
      </c>
      <c r="BA110">
        <v>1</v>
      </c>
      <c r="BB110">
        <v>1</v>
      </c>
      <c r="BC110">
        <v>1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1</v>
      </c>
      <c r="BJ110" t="s">
        <v>144</v>
      </c>
      <c r="BM110">
        <v>33001</v>
      </c>
      <c r="BN110">
        <v>0</v>
      </c>
      <c r="BO110" t="s">
        <v>3</v>
      </c>
      <c r="BP110">
        <v>0</v>
      </c>
      <c r="BQ110">
        <v>2</v>
      </c>
      <c r="BR110">
        <v>0</v>
      </c>
      <c r="BS110">
        <v>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103</v>
      </c>
      <c r="CA110">
        <v>60</v>
      </c>
      <c r="CB110" t="s">
        <v>3</v>
      </c>
      <c r="CE110">
        <v>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si="70"/>
        <v>77252.7</v>
      </c>
      <c r="CQ110">
        <f>SUMIF(SmtRes!AQ72:'SmtRes'!AQ89,"=1",SmtRes!AA72:'SmtRes'!AA89)</f>
        <v>179874.28</v>
      </c>
      <c r="CR110">
        <f>SUMIF(SmtRes!AQ72:'SmtRes'!AQ89,"=1",SmtRes!AB72:'SmtRes'!AB89)</f>
        <v>3126.58</v>
      </c>
      <c r="CS110">
        <f>SUMIF(SmtRes!AQ72:'SmtRes'!AQ89,"=1",SmtRes!AC72:'SmtRes'!AC89)</f>
        <v>1054.31</v>
      </c>
      <c r="CT110">
        <f>SUMIF(SmtRes!AQ72:'SmtRes'!AQ89,"=1",SmtRes!AD72:'SmtRes'!AD89)</f>
        <v>452.11</v>
      </c>
      <c r="CU110">
        <f t="shared" si="71"/>
        <v>0</v>
      </c>
      <c r="CV110">
        <f>SUMIF(SmtRes!AQ72:'SmtRes'!AQ89,"=1",SmtRes!BU72:'SmtRes'!BU89)</f>
        <v>3.06</v>
      </c>
      <c r="CW110">
        <f>SUMIF(SmtRes!AQ72:'SmtRes'!AQ89,"=1",SmtRes!BV72:'SmtRes'!BV89)</f>
        <v>0.87000000000000011</v>
      </c>
      <c r="CX110">
        <f t="shared" si="72"/>
        <v>0</v>
      </c>
      <c r="CY110">
        <f t="shared" si="73"/>
        <v>38316.370800000004</v>
      </c>
      <c r="CZ110">
        <f t="shared" si="74"/>
        <v>22320.216</v>
      </c>
      <c r="DC110" t="s">
        <v>3</v>
      </c>
      <c r="DD110" t="s">
        <v>3</v>
      </c>
      <c r="DE110" t="s">
        <v>3</v>
      </c>
      <c r="DF110" t="s">
        <v>3</v>
      </c>
      <c r="DG110" t="s">
        <v>3</v>
      </c>
      <c r="DH110" t="s">
        <v>3</v>
      </c>
      <c r="DI110" t="s">
        <v>3</v>
      </c>
      <c r="DJ110" t="s">
        <v>3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1013</v>
      </c>
      <c r="DV110" t="s">
        <v>77</v>
      </c>
      <c r="DW110" t="s">
        <v>77</v>
      </c>
      <c r="DX110">
        <v>1</v>
      </c>
      <c r="DZ110" t="s">
        <v>3</v>
      </c>
      <c r="EA110" t="s">
        <v>3</v>
      </c>
      <c r="EB110" t="s">
        <v>3</v>
      </c>
      <c r="EC110" t="s">
        <v>3</v>
      </c>
      <c r="EE110">
        <v>64851056</v>
      </c>
      <c r="EF110">
        <v>2</v>
      </c>
      <c r="EG110" t="s">
        <v>79</v>
      </c>
      <c r="EH110">
        <v>27</v>
      </c>
      <c r="EI110" t="s">
        <v>80</v>
      </c>
      <c r="EJ110">
        <v>1</v>
      </c>
      <c r="EK110">
        <v>33001</v>
      </c>
      <c r="EL110" t="s">
        <v>80</v>
      </c>
      <c r="EM110" t="s">
        <v>81</v>
      </c>
      <c r="EO110" t="s">
        <v>3</v>
      </c>
      <c r="EQ110">
        <v>0</v>
      </c>
      <c r="ER110">
        <v>0</v>
      </c>
      <c r="ES110">
        <v>0</v>
      </c>
      <c r="ET110">
        <v>0</v>
      </c>
      <c r="EU110">
        <v>0</v>
      </c>
      <c r="EV110">
        <v>0</v>
      </c>
      <c r="EW110">
        <v>3.06</v>
      </c>
      <c r="EX110">
        <v>0.87</v>
      </c>
      <c r="EY110">
        <v>0</v>
      </c>
      <c r="FQ110">
        <v>0</v>
      </c>
      <c r="FR110">
        <f t="shared" si="75"/>
        <v>0</v>
      </c>
      <c r="FS110">
        <v>0</v>
      </c>
      <c r="FX110">
        <v>103</v>
      </c>
      <c r="FY110">
        <v>60</v>
      </c>
      <c r="GA110" t="s">
        <v>3</v>
      </c>
      <c r="GD110">
        <v>1</v>
      </c>
      <c r="GF110">
        <v>-2032651346</v>
      </c>
      <c r="GG110">
        <v>2</v>
      </c>
      <c r="GH110">
        <v>1</v>
      </c>
      <c r="GI110">
        <v>-2</v>
      </c>
      <c r="GJ110">
        <v>0</v>
      </c>
      <c r="GK110">
        <v>0</v>
      </c>
      <c r="GL110">
        <f t="shared" si="76"/>
        <v>0</v>
      </c>
      <c r="GM110">
        <f t="shared" si="77"/>
        <v>137889.29</v>
      </c>
      <c r="GN110">
        <f t="shared" si="78"/>
        <v>137889.29</v>
      </c>
      <c r="GO110">
        <f t="shared" si="79"/>
        <v>0</v>
      </c>
      <c r="GP110">
        <f t="shared" si="80"/>
        <v>0</v>
      </c>
      <c r="GR110">
        <v>0</v>
      </c>
      <c r="GS110">
        <v>3</v>
      </c>
      <c r="GT110">
        <v>0</v>
      </c>
      <c r="GU110" t="s">
        <v>3</v>
      </c>
      <c r="GV110">
        <f t="shared" si="81"/>
        <v>0</v>
      </c>
      <c r="GW110">
        <v>1</v>
      </c>
      <c r="GX110">
        <f t="shared" si="82"/>
        <v>0</v>
      </c>
      <c r="HA110">
        <v>0</v>
      </c>
      <c r="HB110">
        <v>0</v>
      </c>
      <c r="HC110">
        <f t="shared" si="83"/>
        <v>0</v>
      </c>
      <c r="HE110" t="s">
        <v>3</v>
      </c>
      <c r="HF110" t="s">
        <v>3</v>
      </c>
      <c r="HM110" t="s">
        <v>3</v>
      </c>
      <c r="HN110" t="s">
        <v>82</v>
      </c>
      <c r="HO110" t="s">
        <v>83</v>
      </c>
      <c r="HP110" t="s">
        <v>80</v>
      </c>
      <c r="HQ110" t="s">
        <v>80</v>
      </c>
      <c r="IK110">
        <v>0</v>
      </c>
    </row>
    <row r="111" spans="1:245" x14ac:dyDescent="0.2">
      <c r="A111">
        <v>17</v>
      </c>
      <c r="B111">
        <v>1</v>
      </c>
      <c r="C111">
        <f>ROW(SmtRes!A109)</f>
        <v>109</v>
      </c>
      <c r="D111">
        <f>ROW(EtalonRes!A109)</f>
        <v>109</v>
      </c>
      <c r="E111" t="s">
        <v>145</v>
      </c>
      <c r="F111" t="s">
        <v>146</v>
      </c>
      <c r="G111" t="s">
        <v>147</v>
      </c>
      <c r="H111" t="s">
        <v>77</v>
      </c>
      <c r="I111">
        <v>12</v>
      </c>
      <c r="J111">
        <v>0</v>
      </c>
      <c r="K111">
        <v>12</v>
      </c>
      <c r="O111">
        <f t="shared" si="62"/>
        <v>99244.14</v>
      </c>
      <c r="P111">
        <f>SUMIF(SmtRes!AQ90:'SmtRes'!AQ109,"=1",SmtRes!DF90:'SmtRes'!DF109)</f>
        <v>1918.8</v>
      </c>
      <c r="Q111">
        <f>SUMIF(SmtRes!AQ90:'SmtRes'!AQ109,"=1",SmtRes!DG90:'SmtRes'!DG109)</f>
        <v>51703.1</v>
      </c>
      <c r="R111">
        <f>SUMIF(SmtRes!AQ90:'SmtRes'!AQ109,"=1",SmtRes!DH90:'SmtRes'!DH109)</f>
        <v>13178.83</v>
      </c>
      <c r="S111">
        <f>SUMIF(SmtRes!AQ90:'SmtRes'!AQ109,"=1",SmtRes!DI90:'SmtRes'!DI109)</f>
        <v>32443.41</v>
      </c>
      <c r="T111">
        <f t="shared" si="63"/>
        <v>0</v>
      </c>
      <c r="U111">
        <f>SUMIF(SmtRes!AQ90:'SmtRes'!AQ109,"=1",SmtRes!CV90:'SmtRes'!CV109)</f>
        <v>71.760000000000005</v>
      </c>
      <c r="V111">
        <f>SUMIF(SmtRes!AQ90:'SmtRes'!AQ109,"=1",SmtRes!CW90:'SmtRes'!CW109)</f>
        <v>24</v>
      </c>
      <c r="W111">
        <f t="shared" si="64"/>
        <v>0</v>
      </c>
      <c r="X111">
        <f t="shared" si="65"/>
        <v>46990.91</v>
      </c>
      <c r="Y111">
        <f t="shared" si="66"/>
        <v>27373.34</v>
      </c>
      <c r="AA111">
        <v>65178645</v>
      </c>
      <c r="AB111">
        <f t="shared" si="67"/>
        <v>6357.9369539999998</v>
      </c>
      <c r="AC111">
        <f>ROUND((SUM(SmtRes!BQ90:'SmtRes'!BQ109)),6)</f>
        <v>121.11915399999999</v>
      </c>
      <c r="AD111">
        <f>ROUND((((SUM(SmtRes!BR90:'SmtRes'!BR109))-(SUM(SmtRes!BS90:'SmtRes'!BS109)))+AE111),6)</f>
        <v>3533.2</v>
      </c>
      <c r="AE111">
        <f>ROUND((SUM(SmtRes!BS90:'SmtRes'!BS109)),6)</f>
        <v>1098.2360000000001</v>
      </c>
      <c r="AF111">
        <f>ROUND((SUM(SmtRes!BT90:'SmtRes'!BT109)),6)</f>
        <v>2703.6178</v>
      </c>
      <c r="AG111">
        <f t="shared" si="68"/>
        <v>0</v>
      </c>
      <c r="AH111">
        <f>(SUM(SmtRes!BU90:'SmtRes'!BU109))</f>
        <v>5.98</v>
      </c>
      <c r="AI111">
        <f>(SUM(SmtRes!BV90:'SmtRes'!BV109))</f>
        <v>2</v>
      </c>
      <c r="AJ111">
        <f t="shared" si="69"/>
        <v>0</v>
      </c>
      <c r="AK111">
        <v>7456.1729540000006</v>
      </c>
      <c r="AL111">
        <v>121.11915400000001</v>
      </c>
      <c r="AM111">
        <v>3533.2000000000003</v>
      </c>
      <c r="AN111">
        <v>1098.2360000000001</v>
      </c>
      <c r="AO111">
        <v>2703.6178000000004</v>
      </c>
      <c r="AP111">
        <v>0</v>
      </c>
      <c r="AQ111">
        <v>5.98</v>
      </c>
      <c r="AR111">
        <v>2</v>
      </c>
      <c r="AS111">
        <v>0</v>
      </c>
      <c r="AT111">
        <v>103</v>
      </c>
      <c r="AU111">
        <v>60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1</v>
      </c>
      <c r="BJ111" t="s">
        <v>148</v>
      </c>
      <c r="BM111">
        <v>33001</v>
      </c>
      <c r="BN111">
        <v>0</v>
      </c>
      <c r="BO111" t="s">
        <v>3</v>
      </c>
      <c r="BP111">
        <v>0</v>
      </c>
      <c r="BQ111">
        <v>2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103</v>
      </c>
      <c r="CA111">
        <v>60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si="70"/>
        <v>99244.14</v>
      </c>
      <c r="CQ111">
        <f>SUMIF(SmtRes!AQ90:'SmtRes'!AQ109,"=1",SmtRes!AA90:'SmtRes'!AA109)</f>
        <v>179874.28</v>
      </c>
      <c r="CR111">
        <f>SUMIF(SmtRes!AQ90:'SmtRes'!AQ109,"=1",SmtRes!AB90:'SmtRes'!AB109)</f>
        <v>3126.58</v>
      </c>
      <c r="CS111">
        <f>SUMIF(SmtRes!AQ90:'SmtRes'!AQ109,"=1",SmtRes!AC90:'SmtRes'!AC109)</f>
        <v>1054.31</v>
      </c>
      <c r="CT111">
        <f>SUMIF(SmtRes!AQ90:'SmtRes'!AQ109,"=1",SmtRes!AD90:'SmtRes'!AD109)</f>
        <v>452.11</v>
      </c>
      <c r="CU111">
        <f t="shared" si="71"/>
        <v>0</v>
      </c>
      <c r="CV111">
        <f>SUMIF(SmtRes!AQ90:'SmtRes'!AQ109,"=1",SmtRes!BU90:'SmtRes'!BU109)</f>
        <v>5.98</v>
      </c>
      <c r="CW111">
        <f>SUMIF(SmtRes!AQ90:'SmtRes'!AQ109,"=1",SmtRes!BV90:'SmtRes'!BV109)</f>
        <v>2</v>
      </c>
      <c r="CX111">
        <f t="shared" si="72"/>
        <v>0</v>
      </c>
      <c r="CY111">
        <f t="shared" si="73"/>
        <v>46990.907199999994</v>
      </c>
      <c r="CZ111">
        <f t="shared" si="74"/>
        <v>27373.343999999997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77</v>
      </c>
      <c r="DW111" t="s">
        <v>77</v>
      </c>
      <c r="DX111">
        <v>1</v>
      </c>
      <c r="DZ111" t="s">
        <v>3</v>
      </c>
      <c r="EA111" t="s">
        <v>3</v>
      </c>
      <c r="EB111" t="s">
        <v>3</v>
      </c>
      <c r="EC111" t="s">
        <v>3</v>
      </c>
      <c r="EE111">
        <v>64851056</v>
      </c>
      <c r="EF111">
        <v>2</v>
      </c>
      <c r="EG111" t="s">
        <v>79</v>
      </c>
      <c r="EH111">
        <v>27</v>
      </c>
      <c r="EI111" t="s">
        <v>80</v>
      </c>
      <c r="EJ111">
        <v>1</v>
      </c>
      <c r="EK111">
        <v>33001</v>
      </c>
      <c r="EL111" t="s">
        <v>80</v>
      </c>
      <c r="EM111" t="s">
        <v>81</v>
      </c>
      <c r="EO111" t="s">
        <v>3</v>
      </c>
      <c r="EQ111">
        <v>0</v>
      </c>
      <c r="ER111">
        <v>0</v>
      </c>
      <c r="ES111">
        <v>0</v>
      </c>
      <c r="ET111">
        <v>0</v>
      </c>
      <c r="EU111">
        <v>0</v>
      </c>
      <c r="EV111">
        <v>0</v>
      </c>
      <c r="EW111">
        <v>5.98</v>
      </c>
      <c r="EX111">
        <v>2</v>
      </c>
      <c r="EY111">
        <v>0</v>
      </c>
      <c r="FQ111">
        <v>0</v>
      </c>
      <c r="FR111">
        <f t="shared" si="75"/>
        <v>0</v>
      </c>
      <c r="FS111">
        <v>0</v>
      </c>
      <c r="FX111">
        <v>103</v>
      </c>
      <c r="FY111">
        <v>60</v>
      </c>
      <c r="GA111" t="s">
        <v>3</v>
      </c>
      <c r="GD111">
        <v>1</v>
      </c>
      <c r="GF111">
        <v>-653163879</v>
      </c>
      <c r="GG111">
        <v>2</v>
      </c>
      <c r="GH111">
        <v>1</v>
      </c>
      <c r="GI111">
        <v>-2</v>
      </c>
      <c r="GJ111">
        <v>0</v>
      </c>
      <c r="GK111">
        <v>0</v>
      </c>
      <c r="GL111">
        <f t="shared" si="76"/>
        <v>0</v>
      </c>
      <c r="GM111">
        <f t="shared" si="77"/>
        <v>173608.39</v>
      </c>
      <c r="GN111">
        <f t="shared" si="78"/>
        <v>173608.39</v>
      </c>
      <c r="GO111">
        <f t="shared" si="79"/>
        <v>0</v>
      </c>
      <c r="GP111">
        <f t="shared" si="80"/>
        <v>0</v>
      </c>
      <c r="GR111">
        <v>0</v>
      </c>
      <c r="GS111">
        <v>3</v>
      </c>
      <c r="GT111">
        <v>0</v>
      </c>
      <c r="GU111" t="s">
        <v>3</v>
      </c>
      <c r="GV111">
        <f t="shared" si="81"/>
        <v>0</v>
      </c>
      <c r="GW111">
        <v>1</v>
      </c>
      <c r="GX111">
        <f t="shared" si="82"/>
        <v>0</v>
      </c>
      <c r="HA111">
        <v>0</v>
      </c>
      <c r="HB111">
        <v>0</v>
      </c>
      <c r="HC111">
        <f t="shared" si="83"/>
        <v>0</v>
      </c>
      <c r="HE111" t="s">
        <v>3</v>
      </c>
      <c r="HF111" t="s">
        <v>3</v>
      </c>
      <c r="HM111" t="s">
        <v>3</v>
      </c>
      <c r="HN111" t="s">
        <v>82</v>
      </c>
      <c r="HO111" t="s">
        <v>83</v>
      </c>
      <c r="HP111" t="s">
        <v>80</v>
      </c>
      <c r="HQ111" t="s">
        <v>80</v>
      </c>
      <c r="IK111">
        <v>0</v>
      </c>
    </row>
    <row r="112" spans="1:245" x14ac:dyDescent="0.2">
      <c r="A112">
        <v>17</v>
      </c>
      <c r="B112">
        <v>1</v>
      </c>
      <c r="C112">
        <f>ROW(SmtRes!A113)</f>
        <v>113</v>
      </c>
      <c r="D112">
        <f>ROW(EtalonRes!A113)</f>
        <v>113</v>
      </c>
      <c r="E112" t="s">
        <v>149</v>
      </c>
      <c r="F112" t="s">
        <v>150</v>
      </c>
      <c r="G112" t="s">
        <v>151</v>
      </c>
      <c r="H112" t="s">
        <v>77</v>
      </c>
      <c r="I112">
        <v>24</v>
      </c>
      <c r="J112">
        <v>0</v>
      </c>
      <c r="K112">
        <v>24</v>
      </c>
      <c r="O112">
        <f t="shared" si="62"/>
        <v>16683.28</v>
      </c>
      <c r="P112">
        <f>SUMIF(SmtRes!AQ110:'SmtRes'!AQ113,"=1",SmtRes!DF110:'SmtRes'!DF113)</f>
        <v>0</v>
      </c>
      <c r="Q112">
        <f>SUMIF(SmtRes!AQ110:'SmtRes'!AQ113,"=1",SmtRes!DG110:'SmtRes'!DG113)</f>
        <v>10051.709999999999</v>
      </c>
      <c r="R112">
        <f>SUMIF(SmtRes!AQ110:'SmtRes'!AQ113,"=1",SmtRes!DH110:'SmtRes'!DH113)</f>
        <v>4269.93</v>
      </c>
      <c r="S112">
        <f>SUMIF(SmtRes!AQ110:'SmtRes'!AQ113,"=1",SmtRes!DI110:'SmtRes'!DI113)</f>
        <v>2361.64</v>
      </c>
      <c r="T112">
        <f t="shared" si="63"/>
        <v>0</v>
      </c>
      <c r="U112">
        <f>SUMIF(SmtRes!AQ110:'SmtRes'!AQ113,"=1",SmtRes!CV110:'SmtRes'!CV113)</f>
        <v>5.04</v>
      </c>
      <c r="V112">
        <f>SUMIF(SmtRes!AQ110:'SmtRes'!AQ113,"=1",SmtRes!CW110:'SmtRes'!CW113)</f>
        <v>6.48</v>
      </c>
      <c r="W112">
        <f t="shared" si="64"/>
        <v>0</v>
      </c>
      <c r="X112">
        <f t="shared" si="65"/>
        <v>6432.62</v>
      </c>
      <c r="Y112">
        <f t="shared" si="66"/>
        <v>3382.1</v>
      </c>
      <c r="AA112">
        <v>65178645</v>
      </c>
      <c r="AB112">
        <f t="shared" si="67"/>
        <v>517.22310000000004</v>
      </c>
      <c r="AC112">
        <f>ROUND((0),6)</f>
        <v>0</v>
      </c>
      <c r="AD112">
        <f>ROUND((((SUM(SmtRes!BR110:'SmtRes'!BR113))-(SUM(SmtRes!BS110:'SmtRes'!BS113)))+AE112),6)</f>
        <v>418.82130000000001</v>
      </c>
      <c r="AE112">
        <f>ROUND((SUM(SmtRes!BS110:'SmtRes'!BS113)),6)</f>
        <v>177.91380000000001</v>
      </c>
      <c r="AF112">
        <f>ROUND((SUM(SmtRes!BT110:'SmtRes'!BT113)),6)</f>
        <v>98.401799999999994</v>
      </c>
      <c r="AG112">
        <f t="shared" si="68"/>
        <v>0</v>
      </c>
      <c r="AH112">
        <f>(SUM(SmtRes!BU110:'SmtRes'!BU113))</f>
        <v>0.21</v>
      </c>
      <c r="AI112">
        <f>(SUM(SmtRes!BV110:'SmtRes'!BV113))</f>
        <v>0.27</v>
      </c>
      <c r="AJ112">
        <f t="shared" si="69"/>
        <v>0</v>
      </c>
      <c r="AK112">
        <v>695.13690000000008</v>
      </c>
      <c r="AL112">
        <v>0</v>
      </c>
      <c r="AM112">
        <v>418.82130000000006</v>
      </c>
      <c r="AN112">
        <v>177.91380000000004</v>
      </c>
      <c r="AO112">
        <v>98.401799999999994</v>
      </c>
      <c r="AP112">
        <v>0</v>
      </c>
      <c r="AQ112">
        <v>0.21</v>
      </c>
      <c r="AR112">
        <v>0.27</v>
      </c>
      <c r="AS112">
        <v>0</v>
      </c>
      <c r="AT112">
        <v>97</v>
      </c>
      <c r="AU112">
        <v>51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2</v>
      </c>
      <c r="BJ112" t="s">
        <v>152</v>
      </c>
      <c r="BM112">
        <v>108001</v>
      </c>
      <c r="BN112">
        <v>0</v>
      </c>
      <c r="BO112" t="s">
        <v>3</v>
      </c>
      <c r="BP112">
        <v>0</v>
      </c>
      <c r="BQ112">
        <v>3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97</v>
      </c>
      <c r="CA112">
        <v>51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70"/>
        <v>16683.28</v>
      </c>
      <c r="CQ112">
        <f>SUMIF(SmtRes!AQ110:'SmtRes'!AQ113,"=1",SmtRes!AA110:'SmtRes'!AA113)</f>
        <v>0</v>
      </c>
      <c r="CR112">
        <f>SUMIF(SmtRes!AQ110:'SmtRes'!AQ113,"=1",SmtRes!AB110:'SmtRes'!AB113)</f>
        <v>1551.19</v>
      </c>
      <c r="CS112">
        <f>SUMIF(SmtRes!AQ110:'SmtRes'!AQ113,"=1",SmtRes!AC110:'SmtRes'!AC113)</f>
        <v>658.94</v>
      </c>
      <c r="CT112">
        <f>SUMIF(SmtRes!AQ110:'SmtRes'!AQ113,"=1",SmtRes!AD110:'SmtRes'!AD113)</f>
        <v>468.58</v>
      </c>
      <c r="CU112">
        <f t="shared" si="71"/>
        <v>0</v>
      </c>
      <c r="CV112">
        <f>SUMIF(SmtRes!AQ110:'SmtRes'!AQ113,"=1",SmtRes!BU110:'SmtRes'!BU113)</f>
        <v>0.21</v>
      </c>
      <c r="CW112">
        <f>SUMIF(SmtRes!AQ110:'SmtRes'!AQ113,"=1",SmtRes!BV110:'SmtRes'!BV113)</f>
        <v>0.27</v>
      </c>
      <c r="CX112">
        <f t="shared" si="72"/>
        <v>0</v>
      </c>
      <c r="CY112">
        <f t="shared" si="73"/>
        <v>6432.6228999999994</v>
      </c>
      <c r="CZ112">
        <f t="shared" si="74"/>
        <v>3382.1007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77</v>
      </c>
      <c r="DW112" t="s">
        <v>77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64850885</v>
      </c>
      <c r="EF112">
        <v>3</v>
      </c>
      <c r="EG112" t="s">
        <v>113</v>
      </c>
      <c r="EH112">
        <v>0</v>
      </c>
      <c r="EI112" t="s">
        <v>3</v>
      </c>
      <c r="EJ112">
        <v>2</v>
      </c>
      <c r="EK112">
        <v>108001</v>
      </c>
      <c r="EL112" t="s">
        <v>114</v>
      </c>
      <c r="EM112" t="s">
        <v>115</v>
      </c>
      <c r="EO112" t="s">
        <v>3</v>
      </c>
      <c r="EQ112">
        <v>0</v>
      </c>
      <c r="ER112">
        <v>0</v>
      </c>
      <c r="ES112">
        <v>0</v>
      </c>
      <c r="ET112">
        <v>0</v>
      </c>
      <c r="EU112">
        <v>0</v>
      </c>
      <c r="EV112">
        <v>0</v>
      </c>
      <c r="EW112">
        <v>0.21</v>
      </c>
      <c r="EX112">
        <v>0.27</v>
      </c>
      <c r="EY112">
        <v>0</v>
      </c>
      <c r="FQ112">
        <v>0</v>
      </c>
      <c r="FR112">
        <f t="shared" si="75"/>
        <v>0</v>
      </c>
      <c r="FS112">
        <v>0</v>
      </c>
      <c r="FX112">
        <v>97</v>
      </c>
      <c r="FY112">
        <v>51</v>
      </c>
      <c r="GA112" t="s">
        <v>3</v>
      </c>
      <c r="GD112">
        <v>1</v>
      </c>
      <c r="GF112">
        <v>838908067</v>
      </c>
      <c r="GG112">
        <v>2</v>
      </c>
      <c r="GH112">
        <v>1</v>
      </c>
      <c r="GI112">
        <v>-2</v>
      </c>
      <c r="GJ112">
        <v>0</v>
      </c>
      <c r="GK112">
        <v>0</v>
      </c>
      <c r="GL112">
        <f t="shared" si="76"/>
        <v>0</v>
      </c>
      <c r="GM112">
        <f t="shared" si="77"/>
        <v>26498</v>
      </c>
      <c r="GN112">
        <f t="shared" si="78"/>
        <v>0</v>
      </c>
      <c r="GO112">
        <f t="shared" si="79"/>
        <v>26498</v>
      </c>
      <c r="GP112">
        <f t="shared" si="80"/>
        <v>0</v>
      </c>
      <c r="GR112">
        <v>0</v>
      </c>
      <c r="GS112">
        <v>3</v>
      </c>
      <c r="GT112">
        <v>0</v>
      </c>
      <c r="GU112" t="s">
        <v>3</v>
      </c>
      <c r="GV112">
        <f t="shared" si="81"/>
        <v>0</v>
      </c>
      <c r="GW112">
        <v>1</v>
      </c>
      <c r="GX112">
        <f t="shared" si="82"/>
        <v>0</v>
      </c>
      <c r="HA112">
        <v>0</v>
      </c>
      <c r="HB112">
        <v>0</v>
      </c>
      <c r="HC112">
        <f t="shared" si="83"/>
        <v>0</v>
      </c>
      <c r="HE112" t="s">
        <v>3</v>
      </c>
      <c r="HF112" t="s">
        <v>3</v>
      </c>
      <c r="HM112" t="s">
        <v>3</v>
      </c>
      <c r="HN112" t="s">
        <v>117</v>
      </c>
      <c r="HO112" t="s">
        <v>118</v>
      </c>
      <c r="HP112" t="s">
        <v>114</v>
      </c>
      <c r="HQ112" t="s">
        <v>114</v>
      </c>
      <c r="IK112">
        <v>0</v>
      </c>
    </row>
    <row r="113" spans="1:245" x14ac:dyDescent="0.2">
      <c r="A113">
        <v>17</v>
      </c>
      <c r="B113">
        <v>1</v>
      </c>
      <c r="C113">
        <f>ROW(SmtRes!A126)</f>
        <v>126</v>
      </c>
      <c r="D113">
        <f>ROW(EtalonRes!A126)</f>
        <v>126</v>
      </c>
      <c r="E113" t="s">
        <v>153</v>
      </c>
      <c r="F113" t="s">
        <v>154</v>
      </c>
      <c r="G113" t="s">
        <v>155</v>
      </c>
      <c r="H113" t="s">
        <v>156</v>
      </c>
      <c r="I113">
        <f>ROUND(950/1000,7)</f>
        <v>0.95</v>
      </c>
      <c r="J113">
        <v>0</v>
      </c>
      <c r="K113">
        <f>ROUND(950/1000,7)</f>
        <v>0.95</v>
      </c>
      <c r="O113">
        <f t="shared" si="62"/>
        <v>66886.94</v>
      </c>
      <c r="P113">
        <f>SUMIF(SmtRes!AQ114:'SmtRes'!AQ126,"=1",SmtRes!DF114:'SmtRes'!DF126)</f>
        <v>0</v>
      </c>
      <c r="Q113">
        <f>SUMIF(SmtRes!AQ114:'SmtRes'!AQ126,"=1",SmtRes!DG114:'SmtRes'!DG126)</f>
        <v>11763.689999999999</v>
      </c>
      <c r="R113">
        <f>SUMIF(SmtRes!AQ114:'SmtRes'!AQ126,"=1",SmtRes!DH114:'SmtRes'!DH126)</f>
        <v>11719.27</v>
      </c>
      <c r="S113">
        <f>SUMIF(SmtRes!AQ114:'SmtRes'!AQ126,"=1",SmtRes!DI114:'SmtRes'!DI126)</f>
        <v>43403.98</v>
      </c>
      <c r="T113">
        <f t="shared" si="63"/>
        <v>0</v>
      </c>
      <c r="U113">
        <f>SUMIF(SmtRes!AQ114:'SmtRes'!AQ126,"=1",SmtRes!CV114:'SmtRes'!CV126)</f>
        <v>90.36399999999999</v>
      </c>
      <c r="V113">
        <f>SUMIF(SmtRes!AQ114:'SmtRes'!AQ126,"=1",SmtRes!CW114:'SmtRes'!CW126)</f>
        <v>23.645500000000002</v>
      </c>
      <c r="W113">
        <f t="shared" si="64"/>
        <v>0</v>
      </c>
      <c r="X113">
        <f t="shared" si="65"/>
        <v>56776.95</v>
      </c>
      <c r="Y113">
        <f t="shared" si="66"/>
        <v>33073.949999999997</v>
      </c>
      <c r="AA113">
        <v>65178645</v>
      </c>
      <c r="AB113">
        <f t="shared" si="67"/>
        <v>55173.6132</v>
      </c>
      <c r="AC113">
        <f>ROUND((0),6)</f>
        <v>0</v>
      </c>
      <c r="AD113">
        <f>ROUND((((SUM(SmtRes!BR114:'SmtRes'!BR126))-(SUM(SmtRes!BS114:'SmtRes'!BS126)))+AE113),6)</f>
        <v>9485.2176999999992</v>
      </c>
      <c r="AE113">
        <f>ROUND((SUM(SmtRes!BS114:'SmtRes'!BS126)),6)</f>
        <v>12336.082</v>
      </c>
      <c r="AF113">
        <f>ROUND((SUM(SmtRes!BT114:'SmtRes'!BT126)),6)</f>
        <v>45688.395499999999</v>
      </c>
      <c r="AG113">
        <f t="shared" si="68"/>
        <v>0</v>
      </c>
      <c r="AH113">
        <f>(SUM(SmtRes!BU114:'SmtRes'!BU126))</f>
        <v>95.12</v>
      </c>
      <c r="AI113">
        <f>(SUM(SmtRes!BV114:'SmtRes'!BV126))</f>
        <v>24.889999999999997</v>
      </c>
      <c r="AJ113">
        <f t="shared" si="69"/>
        <v>0</v>
      </c>
      <c r="AK113">
        <v>67509.695200000002</v>
      </c>
      <c r="AL113">
        <v>0</v>
      </c>
      <c r="AM113">
        <v>9485.2176999999992</v>
      </c>
      <c r="AN113">
        <v>12336.081999999999</v>
      </c>
      <c r="AO113">
        <v>45688.395499999999</v>
      </c>
      <c r="AP113">
        <v>0</v>
      </c>
      <c r="AQ113">
        <v>95.12</v>
      </c>
      <c r="AR113">
        <v>24.889999999999997</v>
      </c>
      <c r="AS113">
        <v>0</v>
      </c>
      <c r="AT113">
        <v>103</v>
      </c>
      <c r="AU113">
        <v>60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1</v>
      </c>
      <c r="BJ113" t="s">
        <v>157</v>
      </c>
      <c r="BM113">
        <v>33001</v>
      </c>
      <c r="BN113">
        <v>0</v>
      </c>
      <c r="BO113" t="s">
        <v>3</v>
      </c>
      <c r="BP113">
        <v>0</v>
      </c>
      <c r="BQ113">
        <v>2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103</v>
      </c>
      <c r="CA113">
        <v>60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70"/>
        <v>66886.94</v>
      </c>
      <c r="CQ113">
        <f>SUMIF(SmtRes!AQ114:'SmtRes'!AQ126,"=1",SmtRes!AA114:'SmtRes'!AA126)</f>
        <v>0</v>
      </c>
      <c r="CR113">
        <f>SUMIF(SmtRes!AQ114:'SmtRes'!AQ126,"=1",SmtRes!AB114:'SmtRes'!AB126)</f>
        <v>2792.64</v>
      </c>
      <c r="CS113">
        <f>SUMIF(SmtRes!AQ114:'SmtRes'!AQ126,"=1",SmtRes!AC114:'SmtRes'!AC126)</f>
        <v>2130.59</v>
      </c>
      <c r="CT113">
        <f>SUMIF(SmtRes!AQ114:'SmtRes'!AQ126,"=1",SmtRes!AD114:'SmtRes'!AD126)</f>
        <v>1888.98</v>
      </c>
      <c r="CU113">
        <f t="shared" si="71"/>
        <v>0</v>
      </c>
      <c r="CV113">
        <f>SUMIF(SmtRes!AQ114:'SmtRes'!AQ126,"=1",SmtRes!BU114:'SmtRes'!BU126)</f>
        <v>95.12</v>
      </c>
      <c r="CW113">
        <f>SUMIF(SmtRes!AQ114:'SmtRes'!AQ126,"=1",SmtRes!BV114:'SmtRes'!BV126)</f>
        <v>24.889999999999997</v>
      </c>
      <c r="CX113">
        <f t="shared" si="72"/>
        <v>0</v>
      </c>
      <c r="CY113">
        <f t="shared" si="73"/>
        <v>56776.947500000002</v>
      </c>
      <c r="CZ113">
        <f t="shared" si="74"/>
        <v>33073.949999999997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1013</v>
      </c>
      <c r="DV113" t="s">
        <v>156</v>
      </c>
      <c r="DW113" t="s">
        <v>158</v>
      </c>
      <c r="DX113">
        <v>1</v>
      </c>
      <c r="DZ113" t="s">
        <v>3</v>
      </c>
      <c r="EA113" t="s">
        <v>3</v>
      </c>
      <c r="EB113" t="s">
        <v>3</v>
      </c>
      <c r="EC113" t="s">
        <v>3</v>
      </c>
      <c r="EE113">
        <v>64851056</v>
      </c>
      <c r="EF113">
        <v>2</v>
      </c>
      <c r="EG113" t="s">
        <v>79</v>
      </c>
      <c r="EH113">
        <v>27</v>
      </c>
      <c r="EI113" t="s">
        <v>80</v>
      </c>
      <c r="EJ113">
        <v>1</v>
      </c>
      <c r="EK113">
        <v>33001</v>
      </c>
      <c r="EL113" t="s">
        <v>80</v>
      </c>
      <c r="EM113" t="s">
        <v>81</v>
      </c>
      <c r="EO113" t="s">
        <v>3</v>
      </c>
      <c r="EQ113">
        <v>0</v>
      </c>
      <c r="ER113">
        <v>0</v>
      </c>
      <c r="ES113">
        <v>0</v>
      </c>
      <c r="ET113">
        <v>0</v>
      </c>
      <c r="EU113">
        <v>0</v>
      </c>
      <c r="EV113">
        <v>0</v>
      </c>
      <c r="EW113">
        <v>95.12</v>
      </c>
      <c r="EX113">
        <v>24.89</v>
      </c>
      <c r="EY113">
        <v>0</v>
      </c>
      <c r="FQ113">
        <v>0</v>
      </c>
      <c r="FR113">
        <f t="shared" si="75"/>
        <v>0</v>
      </c>
      <c r="FS113">
        <v>0</v>
      </c>
      <c r="FX113">
        <v>103</v>
      </c>
      <c r="FY113">
        <v>60</v>
      </c>
      <c r="GA113" t="s">
        <v>3</v>
      </c>
      <c r="GD113">
        <v>1</v>
      </c>
      <c r="GF113">
        <v>-1946800449</v>
      </c>
      <c r="GG113">
        <v>2</v>
      </c>
      <c r="GH113">
        <v>1</v>
      </c>
      <c r="GI113">
        <v>-2</v>
      </c>
      <c r="GJ113">
        <v>0</v>
      </c>
      <c r="GK113">
        <v>0</v>
      </c>
      <c r="GL113">
        <f t="shared" si="76"/>
        <v>0</v>
      </c>
      <c r="GM113">
        <f t="shared" si="77"/>
        <v>156737.84</v>
      </c>
      <c r="GN113">
        <f t="shared" si="78"/>
        <v>156737.84</v>
      </c>
      <c r="GO113">
        <f t="shared" si="79"/>
        <v>0</v>
      </c>
      <c r="GP113">
        <f t="shared" si="80"/>
        <v>0</v>
      </c>
      <c r="GR113">
        <v>0</v>
      </c>
      <c r="GS113">
        <v>3</v>
      </c>
      <c r="GT113">
        <v>0</v>
      </c>
      <c r="GU113" t="s">
        <v>3</v>
      </c>
      <c r="GV113">
        <f t="shared" si="81"/>
        <v>0</v>
      </c>
      <c r="GW113">
        <v>1</v>
      </c>
      <c r="GX113">
        <f t="shared" si="82"/>
        <v>0</v>
      </c>
      <c r="HA113">
        <v>0</v>
      </c>
      <c r="HB113">
        <v>0</v>
      </c>
      <c r="HC113">
        <f t="shared" si="83"/>
        <v>0</v>
      </c>
      <c r="HE113" t="s">
        <v>3</v>
      </c>
      <c r="HF113" t="s">
        <v>3</v>
      </c>
      <c r="HM113" t="s">
        <v>3</v>
      </c>
      <c r="HN113" t="s">
        <v>82</v>
      </c>
      <c r="HO113" t="s">
        <v>83</v>
      </c>
      <c r="HP113" t="s">
        <v>80</v>
      </c>
      <c r="HQ113" t="s">
        <v>80</v>
      </c>
      <c r="IK113">
        <v>0</v>
      </c>
    </row>
    <row r="114" spans="1:245" x14ac:dyDescent="0.2">
      <c r="A114">
        <v>17</v>
      </c>
      <c r="B114">
        <v>1</v>
      </c>
      <c r="C114">
        <f>ROW(SmtRes!A135)</f>
        <v>135</v>
      </c>
      <c r="D114">
        <f>ROW(EtalonRes!A135)</f>
        <v>135</v>
      </c>
      <c r="E114" t="s">
        <v>159</v>
      </c>
      <c r="F114" t="s">
        <v>160</v>
      </c>
      <c r="G114" t="s">
        <v>161</v>
      </c>
      <c r="H114" t="s">
        <v>162</v>
      </c>
      <c r="I114">
        <f>ROUND(244/100,7)</f>
        <v>2.44</v>
      </c>
      <c r="J114">
        <v>0</v>
      </c>
      <c r="K114">
        <f>ROUND(244/100,7)</f>
        <v>2.44</v>
      </c>
      <c r="O114">
        <f t="shared" si="62"/>
        <v>53168.95</v>
      </c>
      <c r="P114">
        <f>SUMIF(SmtRes!AQ127:'SmtRes'!AQ135,"=1",SmtRes!DF127:'SmtRes'!DF135)</f>
        <v>3044.6</v>
      </c>
      <c r="Q114">
        <f>SUMIF(SmtRes!AQ127:'SmtRes'!AQ135,"=1",SmtRes!DG127:'SmtRes'!DG135)</f>
        <v>529.87</v>
      </c>
      <c r="R114">
        <f>SUMIF(SmtRes!AQ127:'SmtRes'!AQ135,"=1",SmtRes!DH127:'SmtRes'!DH135)</f>
        <v>280.47000000000003</v>
      </c>
      <c r="S114">
        <f>SUMIF(SmtRes!AQ127:'SmtRes'!AQ135,"=1",SmtRes!DI127:'SmtRes'!DI135)</f>
        <v>49314.01</v>
      </c>
      <c r="T114">
        <f t="shared" si="63"/>
        <v>0</v>
      </c>
      <c r="U114">
        <f>SUMIF(SmtRes!AQ127:'SmtRes'!AQ135,"=1",SmtRes!CV127:'SmtRes'!CV135)</f>
        <v>100.52800000000001</v>
      </c>
      <c r="V114">
        <f>SUMIF(SmtRes!AQ127:'SmtRes'!AQ135,"=1",SmtRes!CW127:'SmtRes'!CW135)</f>
        <v>0.48799999999999999</v>
      </c>
      <c r="W114">
        <f t="shared" si="64"/>
        <v>0</v>
      </c>
      <c r="X114">
        <f t="shared" si="65"/>
        <v>48106.65</v>
      </c>
      <c r="Y114">
        <f t="shared" si="66"/>
        <v>25293.18</v>
      </c>
      <c r="AA114">
        <v>65178645</v>
      </c>
      <c r="AB114">
        <f t="shared" si="67"/>
        <v>21607.05775</v>
      </c>
      <c r="AC114">
        <f>ROUND((SUM(SmtRes!BQ127:'SmtRes'!BQ135)),6)</f>
        <v>1189.2755500000001</v>
      </c>
      <c r="AD114">
        <f>ROUND((((SUM(SmtRes!BR127:'SmtRes'!BR135))-(SUM(SmtRes!BS127:'SmtRes'!BS135)))+AE114),6)</f>
        <v>207.12219999999999</v>
      </c>
      <c r="AE114">
        <f>ROUND((SUM(SmtRes!BS127:'SmtRes'!BS135)),6)</f>
        <v>114.949</v>
      </c>
      <c r="AF114">
        <f>ROUND((SUM(SmtRes!BT127:'SmtRes'!BT135)),6)</f>
        <v>20210.66</v>
      </c>
      <c r="AG114">
        <f t="shared" si="68"/>
        <v>0</v>
      </c>
      <c r="AH114">
        <f>(SUM(SmtRes!BU127:'SmtRes'!BU135))</f>
        <v>41.2</v>
      </c>
      <c r="AI114">
        <f>(SUM(SmtRes!BV127:'SmtRes'!BV135))</f>
        <v>0.2</v>
      </c>
      <c r="AJ114">
        <f t="shared" si="69"/>
        <v>0</v>
      </c>
      <c r="AK114">
        <v>21722.006750000004</v>
      </c>
      <c r="AL114">
        <v>1189.2755500000001</v>
      </c>
      <c r="AM114">
        <v>207.12220000000002</v>
      </c>
      <c r="AN114">
        <v>114.94900000000001</v>
      </c>
      <c r="AO114">
        <v>20210.660000000003</v>
      </c>
      <c r="AP114">
        <v>0</v>
      </c>
      <c r="AQ114">
        <v>41.2</v>
      </c>
      <c r="AR114">
        <v>0.2</v>
      </c>
      <c r="AS114">
        <v>0</v>
      </c>
      <c r="AT114">
        <v>97</v>
      </c>
      <c r="AU114">
        <v>51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2</v>
      </c>
      <c r="BJ114" t="s">
        <v>163</v>
      </c>
      <c r="BM114">
        <v>108001</v>
      </c>
      <c r="BN114">
        <v>0</v>
      </c>
      <c r="BO114" t="s">
        <v>3</v>
      </c>
      <c r="BP114">
        <v>0</v>
      </c>
      <c r="BQ114">
        <v>3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97</v>
      </c>
      <c r="CA114">
        <v>51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70"/>
        <v>53168.950000000004</v>
      </c>
      <c r="CQ114">
        <f>SUMIF(SmtRes!AQ127:'SmtRes'!AQ135,"=1",SmtRes!AA127:'SmtRes'!AA135)</f>
        <v>62937.109999999993</v>
      </c>
      <c r="CR114">
        <f>SUMIF(SmtRes!AQ127:'SmtRes'!AQ135,"=1",SmtRes!AB127:'SmtRes'!AB135)</f>
        <v>2155.7900000000004</v>
      </c>
      <c r="CS114">
        <f>SUMIF(SmtRes!AQ127:'SmtRes'!AQ135,"=1",SmtRes!AC127:'SmtRes'!AC135)</f>
        <v>1149.49</v>
      </c>
      <c r="CT114">
        <f>SUMIF(SmtRes!AQ127:'SmtRes'!AQ135,"=1",SmtRes!AD127:'SmtRes'!AD135)</f>
        <v>490.55</v>
      </c>
      <c r="CU114">
        <f t="shared" si="71"/>
        <v>0</v>
      </c>
      <c r="CV114">
        <f>SUMIF(SmtRes!AQ127:'SmtRes'!AQ135,"=1",SmtRes!BU127:'SmtRes'!BU135)</f>
        <v>41.2</v>
      </c>
      <c r="CW114">
        <f>SUMIF(SmtRes!AQ127:'SmtRes'!AQ135,"=1",SmtRes!BV127:'SmtRes'!BV135)</f>
        <v>0.2</v>
      </c>
      <c r="CX114">
        <f t="shared" si="72"/>
        <v>0</v>
      </c>
      <c r="CY114">
        <f t="shared" si="73"/>
        <v>48106.645600000003</v>
      </c>
      <c r="CZ114">
        <f t="shared" si="74"/>
        <v>25293.184799999999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162</v>
      </c>
      <c r="DW114" t="s">
        <v>162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64850885</v>
      </c>
      <c r="EF114">
        <v>3</v>
      </c>
      <c r="EG114" t="s">
        <v>113</v>
      </c>
      <c r="EH114">
        <v>0</v>
      </c>
      <c r="EI114" t="s">
        <v>3</v>
      </c>
      <c r="EJ114">
        <v>2</v>
      </c>
      <c r="EK114">
        <v>108001</v>
      </c>
      <c r="EL114" t="s">
        <v>114</v>
      </c>
      <c r="EM114" t="s">
        <v>115</v>
      </c>
      <c r="EO114" t="s">
        <v>3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41.2</v>
      </c>
      <c r="EX114">
        <v>0.2</v>
      </c>
      <c r="EY114">
        <v>0</v>
      </c>
      <c r="FQ114">
        <v>0</v>
      </c>
      <c r="FR114">
        <f t="shared" si="75"/>
        <v>0</v>
      </c>
      <c r="FS114">
        <v>0</v>
      </c>
      <c r="FX114">
        <v>97</v>
      </c>
      <c r="FY114">
        <v>51</v>
      </c>
      <c r="GA114" t="s">
        <v>3</v>
      </c>
      <c r="GD114">
        <v>1</v>
      </c>
      <c r="GF114">
        <v>1339080476</v>
      </c>
      <c r="GG114">
        <v>2</v>
      </c>
      <c r="GH114">
        <v>1</v>
      </c>
      <c r="GI114">
        <v>-2</v>
      </c>
      <c r="GJ114">
        <v>0</v>
      </c>
      <c r="GK114">
        <v>0</v>
      </c>
      <c r="GL114">
        <f t="shared" si="76"/>
        <v>0</v>
      </c>
      <c r="GM114">
        <f t="shared" si="77"/>
        <v>126568.78</v>
      </c>
      <c r="GN114">
        <f t="shared" si="78"/>
        <v>0</v>
      </c>
      <c r="GO114">
        <f t="shared" si="79"/>
        <v>126568.78</v>
      </c>
      <c r="GP114">
        <f t="shared" si="80"/>
        <v>0</v>
      </c>
      <c r="GR114">
        <v>0</v>
      </c>
      <c r="GS114">
        <v>3</v>
      </c>
      <c r="GT114">
        <v>0</v>
      </c>
      <c r="GU114" t="s">
        <v>3</v>
      </c>
      <c r="GV114">
        <f t="shared" si="81"/>
        <v>0</v>
      </c>
      <c r="GW114">
        <v>1</v>
      </c>
      <c r="GX114">
        <f t="shared" si="82"/>
        <v>0</v>
      </c>
      <c r="HA114">
        <v>0</v>
      </c>
      <c r="HB114">
        <v>0</v>
      </c>
      <c r="HC114">
        <f t="shared" si="83"/>
        <v>0</v>
      </c>
      <c r="HE114" t="s">
        <v>3</v>
      </c>
      <c r="HF114" t="s">
        <v>3</v>
      </c>
      <c r="HM114" t="s">
        <v>3</v>
      </c>
      <c r="HN114" t="s">
        <v>117</v>
      </c>
      <c r="HO114" t="s">
        <v>118</v>
      </c>
      <c r="HP114" t="s">
        <v>114</v>
      </c>
      <c r="HQ114" t="s">
        <v>114</v>
      </c>
      <c r="IK114">
        <v>0</v>
      </c>
    </row>
    <row r="115" spans="1:245" x14ac:dyDescent="0.2">
      <c r="A115">
        <v>17</v>
      </c>
      <c r="B115">
        <v>1</v>
      </c>
      <c r="C115">
        <f>ROW(SmtRes!A146)</f>
        <v>146</v>
      </c>
      <c r="D115">
        <f>ROW(EtalonRes!A146)</f>
        <v>146</v>
      </c>
      <c r="E115" t="s">
        <v>164</v>
      </c>
      <c r="F115" t="s">
        <v>165</v>
      </c>
      <c r="G115" t="s">
        <v>166</v>
      </c>
      <c r="H115" t="s">
        <v>104</v>
      </c>
      <c r="I115">
        <v>12</v>
      </c>
      <c r="J115">
        <v>0</v>
      </c>
      <c r="K115">
        <v>12</v>
      </c>
      <c r="O115">
        <f t="shared" si="62"/>
        <v>20455.05</v>
      </c>
      <c r="P115">
        <f>SUMIF(SmtRes!AQ136:'SmtRes'!AQ146,"=1",SmtRes!DF136:'SmtRes'!DF146)</f>
        <v>2530.62</v>
      </c>
      <c r="Q115">
        <f>SUMIF(SmtRes!AQ136:'SmtRes'!AQ146,"=1",SmtRes!DG136:'SmtRes'!DG146)</f>
        <v>1719.93</v>
      </c>
      <c r="R115">
        <f>SUMIF(SmtRes!AQ136:'SmtRes'!AQ146,"=1",SmtRes!DH136:'SmtRes'!DH146)</f>
        <v>1589.38</v>
      </c>
      <c r="S115">
        <f>SUMIF(SmtRes!AQ136:'SmtRes'!AQ146,"=1",SmtRes!DI136:'SmtRes'!DI146)</f>
        <v>14615.12</v>
      </c>
      <c r="T115">
        <f t="shared" si="63"/>
        <v>0</v>
      </c>
      <c r="U115">
        <f>SUMIF(SmtRes!AQ136:'SmtRes'!AQ146,"=1",SmtRes!CV136:'SmtRes'!CV146)</f>
        <v>31.56</v>
      </c>
      <c r="V115">
        <f>SUMIF(SmtRes!AQ136:'SmtRes'!AQ146,"=1",SmtRes!CW136:'SmtRes'!CW146)</f>
        <v>3.24</v>
      </c>
      <c r="W115">
        <f t="shared" si="64"/>
        <v>0</v>
      </c>
      <c r="X115">
        <f t="shared" si="65"/>
        <v>16690.64</v>
      </c>
      <c r="Y115">
        <f t="shared" si="66"/>
        <v>9722.7000000000007</v>
      </c>
      <c r="AA115">
        <v>65178645</v>
      </c>
      <c r="AB115">
        <f t="shared" si="67"/>
        <v>1450.3672999999999</v>
      </c>
      <c r="AC115">
        <f>ROUND((SUM(SmtRes!BQ136:'SmtRes'!BQ146)),6)</f>
        <v>119.145</v>
      </c>
      <c r="AD115">
        <f>ROUND((((SUM(SmtRes!BR136:'SmtRes'!BR146))-(SUM(SmtRes!BS136:'SmtRes'!BS146)))+AE115),6)</f>
        <v>113.29559999999999</v>
      </c>
      <c r="AE115">
        <f>ROUND((SUM(SmtRes!BS136:'SmtRes'!BS146)),6)</f>
        <v>132.4485</v>
      </c>
      <c r="AF115">
        <f>ROUND((SUM(SmtRes!BT136:'SmtRes'!BT146)),6)</f>
        <v>1217.9267</v>
      </c>
      <c r="AG115">
        <f t="shared" si="68"/>
        <v>0</v>
      </c>
      <c r="AH115">
        <f>(SUM(SmtRes!BU136:'SmtRes'!BU146))</f>
        <v>2.63</v>
      </c>
      <c r="AI115">
        <f>(SUM(SmtRes!BV136:'SmtRes'!BV146))</f>
        <v>0.27</v>
      </c>
      <c r="AJ115">
        <f t="shared" si="69"/>
        <v>0</v>
      </c>
      <c r="AK115">
        <v>1582.8157999999999</v>
      </c>
      <c r="AL115">
        <v>119.145</v>
      </c>
      <c r="AM115">
        <v>113.29560000000001</v>
      </c>
      <c r="AN115">
        <v>132.4485</v>
      </c>
      <c r="AO115">
        <v>1217.9267</v>
      </c>
      <c r="AP115">
        <v>0</v>
      </c>
      <c r="AQ115">
        <v>2.63</v>
      </c>
      <c r="AR115">
        <v>0.27</v>
      </c>
      <c r="AS115">
        <v>0</v>
      </c>
      <c r="AT115">
        <v>103</v>
      </c>
      <c r="AU115">
        <v>60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167</v>
      </c>
      <c r="BM115">
        <v>33001</v>
      </c>
      <c r="BN115">
        <v>0</v>
      </c>
      <c r="BO115" t="s">
        <v>3</v>
      </c>
      <c r="BP115">
        <v>0</v>
      </c>
      <c r="BQ115">
        <v>2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103</v>
      </c>
      <c r="CA115">
        <v>60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70"/>
        <v>20455.050000000003</v>
      </c>
      <c r="CQ115">
        <f>SUMIF(SmtRes!AQ136:'SmtRes'!AQ146,"=1",SmtRes!AA136:'SmtRes'!AA146)</f>
        <v>622.93999999999994</v>
      </c>
      <c r="CR115">
        <f>SUMIF(SmtRes!AQ136:'SmtRes'!AQ146,"=1",SmtRes!AB136:'SmtRes'!AB146)</f>
        <v>1049.83</v>
      </c>
      <c r="CS115">
        <f>SUMIF(SmtRes!AQ136:'SmtRes'!AQ146,"=1",SmtRes!AC136:'SmtRes'!AC146)</f>
        <v>981.1</v>
      </c>
      <c r="CT115">
        <f>SUMIF(SmtRes!AQ136:'SmtRes'!AQ146,"=1",SmtRes!AD136:'SmtRes'!AD146)</f>
        <v>463.09</v>
      </c>
      <c r="CU115">
        <f t="shared" si="71"/>
        <v>0</v>
      </c>
      <c r="CV115">
        <f>SUMIF(SmtRes!AQ136:'SmtRes'!AQ146,"=1",SmtRes!BU136:'SmtRes'!BU146)</f>
        <v>2.63</v>
      </c>
      <c r="CW115">
        <f>SUMIF(SmtRes!AQ136:'SmtRes'!AQ146,"=1",SmtRes!BV136:'SmtRes'!BV146)</f>
        <v>0.27</v>
      </c>
      <c r="CX115">
        <f t="shared" si="72"/>
        <v>0</v>
      </c>
      <c r="CY115">
        <f t="shared" si="73"/>
        <v>16690.634999999998</v>
      </c>
      <c r="CZ115">
        <f t="shared" si="74"/>
        <v>9722.7000000000007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104</v>
      </c>
      <c r="DW115" t="s">
        <v>104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64851056</v>
      </c>
      <c r="EF115">
        <v>2</v>
      </c>
      <c r="EG115" t="s">
        <v>79</v>
      </c>
      <c r="EH115">
        <v>27</v>
      </c>
      <c r="EI115" t="s">
        <v>80</v>
      </c>
      <c r="EJ115">
        <v>1</v>
      </c>
      <c r="EK115">
        <v>33001</v>
      </c>
      <c r="EL115" t="s">
        <v>80</v>
      </c>
      <c r="EM115" t="s">
        <v>81</v>
      </c>
      <c r="EO115" t="s">
        <v>3</v>
      </c>
      <c r="EQ115">
        <v>0</v>
      </c>
      <c r="ER115">
        <v>0</v>
      </c>
      <c r="ES115">
        <v>0</v>
      </c>
      <c r="ET115">
        <v>0</v>
      </c>
      <c r="EU115">
        <v>0</v>
      </c>
      <c r="EV115">
        <v>0</v>
      </c>
      <c r="EW115">
        <v>2.63</v>
      </c>
      <c r="EX115">
        <v>0.27</v>
      </c>
      <c r="EY115">
        <v>0</v>
      </c>
      <c r="FQ115">
        <v>0</v>
      </c>
      <c r="FR115">
        <f t="shared" si="75"/>
        <v>0</v>
      </c>
      <c r="FS115">
        <v>0</v>
      </c>
      <c r="FX115">
        <v>103</v>
      </c>
      <c r="FY115">
        <v>60</v>
      </c>
      <c r="GA115" t="s">
        <v>3</v>
      </c>
      <c r="GD115">
        <v>1</v>
      </c>
      <c r="GF115">
        <v>1062584151</v>
      </c>
      <c r="GG115">
        <v>2</v>
      </c>
      <c r="GH115">
        <v>1</v>
      </c>
      <c r="GI115">
        <v>-2</v>
      </c>
      <c r="GJ115">
        <v>0</v>
      </c>
      <c r="GK115">
        <v>0</v>
      </c>
      <c r="GL115">
        <f t="shared" si="76"/>
        <v>0</v>
      </c>
      <c r="GM115">
        <f t="shared" si="77"/>
        <v>46868.39</v>
      </c>
      <c r="GN115">
        <f t="shared" si="78"/>
        <v>46868.39</v>
      </c>
      <c r="GO115">
        <f t="shared" si="79"/>
        <v>0</v>
      </c>
      <c r="GP115">
        <f t="shared" si="80"/>
        <v>0</v>
      </c>
      <c r="GR115">
        <v>0</v>
      </c>
      <c r="GS115">
        <v>3</v>
      </c>
      <c r="GT115">
        <v>0</v>
      </c>
      <c r="GU115" t="s">
        <v>3</v>
      </c>
      <c r="GV115">
        <f t="shared" si="81"/>
        <v>0</v>
      </c>
      <c r="GW115">
        <v>1</v>
      </c>
      <c r="GX115">
        <f t="shared" si="82"/>
        <v>0</v>
      </c>
      <c r="HA115">
        <v>0</v>
      </c>
      <c r="HB115">
        <v>0</v>
      </c>
      <c r="HC115">
        <f t="shared" si="83"/>
        <v>0</v>
      </c>
      <c r="HE115" t="s">
        <v>3</v>
      </c>
      <c r="HF115" t="s">
        <v>3</v>
      </c>
      <c r="HM115" t="s">
        <v>3</v>
      </c>
      <c r="HN115" t="s">
        <v>82</v>
      </c>
      <c r="HO115" t="s">
        <v>83</v>
      </c>
      <c r="HP115" t="s">
        <v>80</v>
      </c>
      <c r="HQ115" t="s">
        <v>80</v>
      </c>
      <c r="IK115">
        <v>0</v>
      </c>
    </row>
    <row r="116" spans="1:245" x14ac:dyDescent="0.2">
      <c r="A116">
        <v>17</v>
      </c>
      <c r="B116">
        <v>1</v>
      </c>
      <c r="C116">
        <f>ROW(SmtRes!A157)</f>
        <v>157</v>
      </c>
      <c r="D116">
        <f>ROW(EtalonRes!A157)</f>
        <v>157</v>
      </c>
      <c r="E116" t="s">
        <v>168</v>
      </c>
      <c r="F116" t="s">
        <v>124</v>
      </c>
      <c r="G116" t="s">
        <v>169</v>
      </c>
      <c r="H116" t="s">
        <v>77</v>
      </c>
      <c r="I116">
        <v>1</v>
      </c>
      <c r="J116">
        <v>0</v>
      </c>
      <c r="K116">
        <v>1</v>
      </c>
      <c r="O116">
        <f t="shared" si="62"/>
        <v>12263.64</v>
      </c>
      <c r="P116">
        <f>SUMIF(SmtRes!AQ147:'SmtRes'!AQ157,"=1",SmtRes!DF147:'SmtRes'!DF157)</f>
        <v>75.12</v>
      </c>
      <c r="Q116">
        <f>SUMIF(SmtRes!AQ147:'SmtRes'!AQ157,"=1",SmtRes!DG147:'SmtRes'!DG157)</f>
        <v>7450.12</v>
      </c>
      <c r="R116">
        <f>SUMIF(SmtRes!AQ147:'SmtRes'!AQ157,"=1",SmtRes!DH147:'SmtRes'!DH157)</f>
        <v>2456.17</v>
      </c>
      <c r="S116">
        <f>SUMIF(SmtRes!AQ147:'SmtRes'!AQ157,"=1",SmtRes!DI147:'SmtRes'!DI157)</f>
        <v>2282.23</v>
      </c>
      <c r="T116">
        <f t="shared" si="63"/>
        <v>0</v>
      </c>
      <c r="U116">
        <f>SUMIF(SmtRes!AQ147:'SmtRes'!AQ157,"=1",SmtRes!CV147:'SmtRes'!CV157)</f>
        <v>4.2699999999999996</v>
      </c>
      <c r="V116">
        <f>SUMIF(SmtRes!AQ147:'SmtRes'!AQ157,"=1",SmtRes!CW147:'SmtRes'!CW157)</f>
        <v>3.7299999999999995</v>
      </c>
      <c r="W116">
        <f t="shared" si="64"/>
        <v>0</v>
      </c>
      <c r="X116">
        <f t="shared" si="65"/>
        <v>4596.25</v>
      </c>
      <c r="Y116">
        <f t="shared" si="66"/>
        <v>2416.58</v>
      </c>
      <c r="AA116">
        <v>65178645</v>
      </c>
      <c r="AB116">
        <f t="shared" si="67"/>
        <v>7824.2555830000001</v>
      </c>
      <c r="AC116">
        <f>ROUND((SUM(SmtRes!BQ147:'SmtRes'!BQ157)),6)</f>
        <v>59.353482999999997</v>
      </c>
      <c r="AD116">
        <f>ROUND((((SUM(SmtRes!BR147:'SmtRes'!BR157))-(SUM(SmtRes!BS147:'SmtRes'!BS157)))+AE116),6)</f>
        <v>5482.6724999999997</v>
      </c>
      <c r="AE116">
        <f>ROUND((SUM(SmtRes!BS147:'SmtRes'!BS157)),6)</f>
        <v>2456.1623</v>
      </c>
      <c r="AF116">
        <f>ROUND((SUM(SmtRes!BT147:'SmtRes'!BT157)),6)</f>
        <v>2282.2296000000001</v>
      </c>
      <c r="AG116">
        <f t="shared" si="68"/>
        <v>0</v>
      </c>
      <c r="AH116">
        <f>(SUM(SmtRes!BU147:'SmtRes'!BU157))</f>
        <v>4.2699999999999996</v>
      </c>
      <c r="AI116">
        <f>(SUM(SmtRes!BV147:'SmtRes'!BV157))</f>
        <v>3.7299999999999995</v>
      </c>
      <c r="AJ116">
        <f t="shared" si="69"/>
        <v>0</v>
      </c>
      <c r="AK116">
        <v>10280.4178828</v>
      </c>
      <c r="AL116">
        <v>59.353482800000002</v>
      </c>
      <c r="AM116">
        <v>5482.6724999999997</v>
      </c>
      <c r="AN116">
        <v>2456.1623</v>
      </c>
      <c r="AO116">
        <v>2282.2295999999997</v>
      </c>
      <c r="AP116">
        <v>0</v>
      </c>
      <c r="AQ116">
        <v>4.2699999999999996</v>
      </c>
      <c r="AR116">
        <v>3.7299999999999995</v>
      </c>
      <c r="AS116">
        <v>0</v>
      </c>
      <c r="AT116">
        <v>97</v>
      </c>
      <c r="AU116">
        <v>51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2</v>
      </c>
      <c r="BJ116" t="s">
        <v>126</v>
      </c>
      <c r="BM116">
        <v>108001</v>
      </c>
      <c r="BN116">
        <v>0</v>
      </c>
      <c r="BO116" t="s">
        <v>3</v>
      </c>
      <c r="BP116">
        <v>0</v>
      </c>
      <c r="BQ116">
        <v>3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97</v>
      </c>
      <c r="CA116">
        <v>51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70"/>
        <v>12263.64</v>
      </c>
      <c r="CQ116">
        <f>SUMIF(SmtRes!AQ147:'SmtRes'!AQ157,"=1",SmtRes!AA147:'SmtRes'!AA157)</f>
        <v>105332.91</v>
      </c>
      <c r="CR116">
        <f>SUMIF(SmtRes!AQ147:'SmtRes'!AQ157,"=1",SmtRes!AB147:'SmtRes'!AB157)</f>
        <v>4131.8500000000004</v>
      </c>
      <c r="CS116">
        <f>SUMIF(SmtRes!AQ147:'SmtRes'!AQ157,"=1",SmtRes!AC147:'SmtRes'!AC157)</f>
        <v>1808.43</v>
      </c>
      <c r="CT116">
        <f>SUMIF(SmtRes!AQ147:'SmtRes'!AQ157,"=1",SmtRes!AD147:'SmtRes'!AD157)</f>
        <v>534.48</v>
      </c>
      <c r="CU116">
        <f t="shared" si="71"/>
        <v>0</v>
      </c>
      <c r="CV116">
        <f>SUMIF(SmtRes!AQ147:'SmtRes'!AQ157,"=1",SmtRes!BU147:'SmtRes'!BU157)</f>
        <v>4.2699999999999996</v>
      </c>
      <c r="CW116">
        <f>SUMIF(SmtRes!AQ147:'SmtRes'!AQ157,"=1",SmtRes!BV147:'SmtRes'!BV157)</f>
        <v>3.7299999999999995</v>
      </c>
      <c r="CX116">
        <f t="shared" si="72"/>
        <v>0</v>
      </c>
      <c r="CY116">
        <f t="shared" si="73"/>
        <v>4596.2479999999996</v>
      </c>
      <c r="CZ116">
        <f t="shared" si="74"/>
        <v>2416.5839999999998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77</v>
      </c>
      <c r="DW116" t="s">
        <v>77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64850885</v>
      </c>
      <c r="EF116">
        <v>3</v>
      </c>
      <c r="EG116" t="s">
        <v>113</v>
      </c>
      <c r="EH116">
        <v>0</v>
      </c>
      <c r="EI116" t="s">
        <v>3</v>
      </c>
      <c r="EJ116">
        <v>2</v>
      </c>
      <c r="EK116">
        <v>108001</v>
      </c>
      <c r="EL116" t="s">
        <v>114</v>
      </c>
      <c r="EM116" t="s">
        <v>115</v>
      </c>
      <c r="EO116" t="s">
        <v>3</v>
      </c>
      <c r="EQ116">
        <v>0</v>
      </c>
      <c r="ER116">
        <v>0</v>
      </c>
      <c r="ES116">
        <v>0</v>
      </c>
      <c r="ET116">
        <v>0</v>
      </c>
      <c r="EU116">
        <v>0</v>
      </c>
      <c r="EV116">
        <v>0</v>
      </c>
      <c r="EW116">
        <v>4.2699999999999996</v>
      </c>
      <c r="EX116">
        <v>3.73</v>
      </c>
      <c r="EY116">
        <v>0</v>
      </c>
      <c r="FQ116">
        <v>0</v>
      </c>
      <c r="FR116">
        <f t="shared" si="75"/>
        <v>0</v>
      </c>
      <c r="FS116">
        <v>0</v>
      </c>
      <c r="FX116">
        <v>97</v>
      </c>
      <c r="FY116">
        <v>51</v>
      </c>
      <c r="GA116" t="s">
        <v>3</v>
      </c>
      <c r="GD116">
        <v>1</v>
      </c>
      <c r="GF116">
        <v>2098844891</v>
      </c>
      <c r="GG116">
        <v>2</v>
      </c>
      <c r="GH116">
        <v>1</v>
      </c>
      <c r="GI116">
        <v>-2</v>
      </c>
      <c r="GJ116">
        <v>0</v>
      </c>
      <c r="GK116">
        <v>0</v>
      </c>
      <c r="GL116">
        <f t="shared" si="76"/>
        <v>0</v>
      </c>
      <c r="GM116">
        <f t="shared" si="77"/>
        <v>19276.47</v>
      </c>
      <c r="GN116">
        <f t="shared" si="78"/>
        <v>0</v>
      </c>
      <c r="GO116">
        <f t="shared" si="79"/>
        <v>19276.47</v>
      </c>
      <c r="GP116">
        <f t="shared" si="80"/>
        <v>0</v>
      </c>
      <c r="GR116">
        <v>0</v>
      </c>
      <c r="GS116">
        <v>0</v>
      </c>
      <c r="GT116">
        <v>0</v>
      </c>
      <c r="GU116" t="s">
        <v>3</v>
      </c>
      <c r="GV116">
        <f t="shared" si="81"/>
        <v>0</v>
      </c>
      <c r="GW116">
        <v>1</v>
      </c>
      <c r="GX116">
        <f t="shared" si="82"/>
        <v>0</v>
      </c>
      <c r="HA116">
        <v>0</v>
      </c>
      <c r="HB116">
        <v>0</v>
      </c>
      <c r="HC116">
        <f t="shared" si="83"/>
        <v>0</v>
      </c>
      <c r="HE116" t="s">
        <v>3</v>
      </c>
      <c r="HF116" t="s">
        <v>3</v>
      </c>
      <c r="HM116" t="s">
        <v>3</v>
      </c>
      <c r="HN116" t="s">
        <v>117</v>
      </c>
      <c r="HO116" t="s">
        <v>118</v>
      </c>
      <c r="HP116" t="s">
        <v>114</v>
      </c>
      <c r="HQ116" t="s">
        <v>114</v>
      </c>
      <c r="IK116">
        <v>0</v>
      </c>
    </row>
    <row r="117" spans="1:245" x14ac:dyDescent="0.2">
      <c r="A117">
        <v>17</v>
      </c>
      <c r="B117">
        <v>1</v>
      </c>
      <c r="C117">
        <f>ROW(SmtRes!A165)</f>
        <v>165</v>
      </c>
      <c r="D117">
        <f>ROW(EtalonRes!A165)</f>
        <v>165</v>
      </c>
      <c r="E117" t="s">
        <v>170</v>
      </c>
      <c r="F117" t="s">
        <v>171</v>
      </c>
      <c r="G117" t="s">
        <v>172</v>
      </c>
      <c r="H117" t="s">
        <v>130</v>
      </c>
      <c r="I117">
        <f>ROUND(12/10,7)</f>
        <v>1.2</v>
      </c>
      <c r="J117">
        <v>0</v>
      </c>
      <c r="K117">
        <f>ROUND(12/10,7)</f>
        <v>1.2</v>
      </c>
      <c r="O117">
        <f t="shared" si="62"/>
        <v>10394.290000000001</v>
      </c>
      <c r="P117">
        <f>SUMIF(SmtRes!AQ158:'SmtRes'!AQ165,"=1",SmtRes!DF158:'SmtRes'!DF165)</f>
        <v>3356.85</v>
      </c>
      <c r="Q117">
        <f>SUMIF(SmtRes!AQ158:'SmtRes'!AQ165,"=1",SmtRes!DG158:'SmtRes'!DG165)</f>
        <v>737.6400000000001</v>
      </c>
      <c r="R117">
        <f>SUMIF(SmtRes!AQ158:'SmtRes'!AQ165,"=1",SmtRes!DH158:'SmtRes'!DH165)</f>
        <v>372.44</v>
      </c>
      <c r="S117">
        <f>SUMIF(SmtRes!AQ158:'SmtRes'!AQ165,"=1",SmtRes!DI158:'SmtRes'!DI165)</f>
        <v>5927.36</v>
      </c>
      <c r="T117">
        <f t="shared" si="63"/>
        <v>0</v>
      </c>
      <c r="U117">
        <f>SUMIF(SmtRes!AQ158:'SmtRes'!AQ165,"=1",SmtRes!CV158:'SmtRes'!CV165)</f>
        <v>12.36</v>
      </c>
      <c r="V117">
        <f>SUMIF(SmtRes!AQ158:'SmtRes'!AQ165,"=1",SmtRes!CW158:'SmtRes'!CW165)</f>
        <v>0.64800000000000002</v>
      </c>
      <c r="W117">
        <f t="shared" si="64"/>
        <v>0</v>
      </c>
      <c r="X117">
        <f t="shared" si="65"/>
        <v>6110.81</v>
      </c>
      <c r="Y117">
        <f t="shared" si="66"/>
        <v>3212.9</v>
      </c>
      <c r="AA117">
        <v>65178645</v>
      </c>
      <c r="AB117">
        <f t="shared" si="67"/>
        <v>7826.8684999999996</v>
      </c>
      <c r="AC117">
        <f>ROUND((SUM(SmtRes!BQ158:'SmtRes'!BQ165)),6)</f>
        <v>2299.7975999999999</v>
      </c>
      <c r="AD117">
        <f>ROUND((((SUM(SmtRes!BR158:'SmtRes'!BR165))-(SUM(SmtRes!BS158:'SmtRes'!BS165)))+AE117),6)</f>
        <v>587.60289999999998</v>
      </c>
      <c r="AE117">
        <f>ROUND((SUM(SmtRes!BS158:'SmtRes'!BS165)),6)</f>
        <v>310.3623</v>
      </c>
      <c r="AF117">
        <f>ROUND((SUM(SmtRes!BT158:'SmtRes'!BT165)),6)</f>
        <v>4939.4679999999998</v>
      </c>
      <c r="AG117">
        <f t="shared" si="68"/>
        <v>0</v>
      </c>
      <c r="AH117">
        <f>(SUM(SmtRes!BU158:'SmtRes'!BU165))</f>
        <v>10.3</v>
      </c>
      <c r="AI117">
        <f>(SUM(SmtRes!BV158:'SmtRes'!BV165))</f>
        <v>0.54</v>
      </c>
      <c r="AJ117">
        <f t="shared" si="69"/>
        <v>0</v>
      </c>
      <c r="AK117">
        <v>8137.2308000000003</v>
      </c>
      <c r="AL117">
        <v>2299.7975999999999</v>
      </c>
      <c r="AM117">
        <v>587.60290000000009</v>
      </c>
      <c r="AN117">
        <v>310.36230000000006</v>
      </c>
      <c r="AO117">
        <v>4939.4680000000008</v>
      </c>
      <c r="AP117">
        <v>0</v>
      </c>
      <c r="AQ117">
        <v>10.3</v>
      </c>
      <c r="AR117">
        <v>0.54</v>
      </c>
      <c r="AS117">
        <v>0</v>
      </c>
      <c r="AT117">
        <v>97</v>
      </c>
      <c r="AU117">
        <v>51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2</v>
      </c>
      <c r="BJ117" t="s">
        <v>173</v>
      </c>
      <c r="BM117">
        <v>108001</v>
      </c>
      <c r="BN117">
        <v>0</v>
      </c>
      <c r="BO117" t="s">
        <v>3</v>
      </c>
      <c r="BP117">
        <v>0</v>
      </c>
      <c r="BQ117">
        <v>3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97</v>
      </c>
      <c r="CA117">
        <v>51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70"/>
        <v>10394.289999999999</v>
      </c>
      <c r="CQ117">
        <f>SUMIF(SmtRes!AQ158:'SmtRes'!AQ165,"=1",SmtRes!AA158:'SmtRes'!AA165)</f>
        <v>1269.07</v>
      </c>
      <c r="CR117">
        <f>SUMIF(SmtRes!AQ158:'SmtRes'!AQ165,"=1",SmtRes!AB158:'SmtRes'!AB165)</f>
        <v>2155.7900000000004</v>
      </c>
      <c r="CS117">
        <f>SUMIF(SmtRes!AQ158:'SmtRes'!AQ165,"=1",SmtRes!AC158:'SmtRes'!AC165)</f>
        <v>1149.49</v>
      </c>
      <c r="CT117">
        <f>SUMIF(SmtRes!AQ158:'SmtRes'!AQ165,"=1",SmtRes!AD158:'SmtRes'!AD165)</f>
        <v>479.56</v>
      </c>
      <c r="CU117">
        <f t="shared" si="71"/>
        <v>0</v>
      </c>
      <c r="CV117">
        <f>SUMIF(SmtRes!AQ158:'SmtRes'!AQ165,"=1",SmtRes!BU158:'SmtRes'!BU165)</f>
        <v>10.3</v>
      </c>
      <c r="CW117">
        <f>SUMIF(SmtRes!AQ158:'SmtRes'!AQ165,"=1",SmtRes!BV158:'SmtRes'!BV165)</f>
        <v>0.54</v>
      </c>
      <c r="CX117">
        <f t="shared" si="72"/>
        <v>0</v>
      </c>
      <c r="CY117">
        <f t="shared" si="73"/>
        <v>6110.8059999999996</v>
      </c>
      <c r="CZ117">
        <f t="shared" si="74"/>
        <v>3212.8979999999997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130</v>
      </c>
      <c r="DW117" t="s">
        <v>130</v>
      </c>
      <c r="DX117">
        <v>1</v>
      </c>
      <c r="DZ117" t="s">
        <v>3</v>
      </c>
      <c r="EA117" t="s">
        <v>3</v>
      </c>
      <c r="EB117" t="s">
        <v>3</v>
      </c>
      <c r="EC117" t="s">
        <v>3</v>
      </c>
      <c r="EE117">
        <v>64850885</v>
      </c>
      <c r="EF117">
        <v>3</v>
      </c>
      <c r="EG117" t="s">
        <v>113</v>
      </c>
      <c r="EH117">
        <v>0</v>
      </c>
      <c r="EI117" t="s">
        <v>3</v>
      </c>
      <c r="EJ117">
        <v>2</v>
      </c>
      <c r="EK117">
        <v>108001</v>
      </c>
      <c r="EL117" t="s">
        <v>114</v>
      </c>
      <c r="EM117" t="s">
        <v>115</v>
      </c>
      <c r="EO117" t="s">
        <v>3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10.3</v>
      </c>
      <c r="EX117">
        <v>0.54</v>
      </c>
      <c r="EY117">
        <v>0</v>
      </c>
      <c r="FQ117">
        <v>0</v>
      </c>
      <c r="FR117">
        <f t="shared" si="75"/>
        <v>0</v>
      </c>
      <c r="FS117">
        <v>0</v>
      </c>
      <c r="FX117">
        <v>97</v>
      </c>
      <c r="FY117">
        <v>51</v>
      </c>
      <c r="GA117" t="s">
        <v>3</v>
      </c>
      <c r="GD117">
        <v>1</v>
      </c>
      <c r="GF117">
        <v>-554683136</v>
      </c>
      <c r="GG117">
        <v>2</v>
      </c>
      <c r="GH117">
        <v>1</v>
      </c>
      <c r="GI117">
        <v>-2</v>
      </c>
      <c r="GJ117">
        <v>0</v>
      </c>
      <c r="GK117">
        <v>0</v>
      </c>
      <c r="GL117">
        <f t="shared" si="76"/>
        <v>0</v>
      </c>
      <c r="GM117">
        <f t="shared" si="77"/>
        <v>19718</v>
      </c>
      <c r="GN117">
        <f t="shared" si="78"/>
        <v>0</v>
      </c>
      <c r="GO117">
        <f t="shared" si="79"/>
        <v>19718</v>
      </c>
      <c r="GP117">
        <f t="shared" si="80"/>
        <v>0</v>
      </c>
      <c r="GR117">
        <v>0</v>
      </c>
      <c r="GS117">
        <v>3</v>
      </c>
      <c r="GT117">
        <v>0</v>
      </c>
      <c r="GU117" t="s">
        <v>3</v>
      </c>
      <c r="GV117">
        <f t="shared" si="81"/>
        <v>0</v>
      </c>
      <c r="GW117">
        <v>1</v>
      </c>
      <c r="GX117">
        <f t="shared" si="82"/>
        <v>0</v>
      </c>
      <c r="HA117">
        <v>0</v>
      </c>
      <c r="HB117">
        <v>0</v>
      </c>
      <c r="HC117">
        <f t="shared" si="83"/>
        <v>0</v>
      </c>
      <c r="HE117" t="s">
        <v>3</v>
      </c>
      <c r="HF117" t="s">
        <v>3</v>
      </c>
      <c r="HM117" t="s">
        <v>3</v>
      </c>
      <c r="HN117" t="s">
        <v>117</v>
      </c>
      <c r="HO117" t="s">
        <v>118</v>
      </c>
      <c r="HP117" t="s">
        <v>114</v>
      </c>
      <c r="HQ117" t="s">
        <v>114</v>
      </c>
      <c r="IK117">
        <v>0</v>
      </c>
    </row>
    <row r="118" spans="1:245" x14ac:dyDescent="0.2">
      <c r="A118">
        <v>17</v>
      </c>
      <c r="B118">
        <v>1</v>
      </c>
      <c r="C118">
        <f>ROW(SmtRes!A174)</f>
        <v>174</v>
      </c>
      <c r="D118">
        <f>ROW(EtalonRes!A174)</f>
        <v>174</v>
      </c>
      <c r="E118" t="s">
        <v>174</v>
      </c>
      <c r="F118" t="s">
        <v>133</v>
      </c>
      <c r="G118" t="s">
        <v>175</v>
      </c>
      <c r="H118" t="s">
        <v>135</v>
      </c>
      <c r="I118">
        <f>ROUND(108/100,7)</f>
        <v>1.08</v>
      </c>
      <c r="J118">
        <v>0</v>
      </c>
      <c r="K118">
        <f>ROUND(108/100,7)</f>
        <v>1.08</v>
      </c>
      <c r="O118">
        <f t="shared" si="62"/>
        <v>13580.23</v>
      </c>
      <c r="P118">
        <f>SUMIF(SmtRes!AQ166:'SmtRes'!AQ174,"=1",SmtRes!DF166:'SmtRes'!DF174)</f>
        <v>3314.18</v>
      </c>
      <c r="Q118">
        <f>SUMIF(SmtRes!AQ166:'SmtRes'!AQ174,"=1",SmtRes!DG166:'SmtRes'!DG174)</f>
        <v>473.40000000000003</v>
      </c>
      <c r="R118">
        <f>SUMIF(SmtRes!AQ166:'SmtRes'!AQ174,"=1",SmtRes!DH166:'SmtRes'!DH174)</f>
        <v>211.04000000000002</v>
      </c>
      <c r="S118">
        <f>SUMIF(SmtRes!AQ166:'SmtRes'!AQ174,"=1",SmtRes!DI166:'SmtRes'!DI174)</f>
        <v>9581.61</v>
      </c>
      <c r="T118">
        <f t="shared" si="63"/>
        <v>0</v>
      </c>
      <c r="U118">
        <f>SUMIF(SmtRes!AQ166:'SmtRes'!AQ174,"=1",SmtRes!CV166:'SmtRes'!CV174)</f>
        <v>19.98</v>
      </c>
      <c r="V118">
        <f>SUMIF(SmtRes!AQ166:'SmtRes'!AQ174,"=1",SmtRes!CW166:'SmtRes'!CW174)</f>
        <v>0.36720000000000003</v>
      </c>
      <c r="W118">
        <f t="shared" si="64"/>
        <v>0</v>
      </c>
      <c r="X118">
        <f t="shared" si="65"/>
        <v>9498.8700000000008</v>
      </c>
      <c r="Y118">
        <f t="shared" si="66"/>
        <v>4994.25</v>
      </c>
      <c r="AA118">
        <v>65178645</v>
      </c>
      <c r="AB118">
        <f t="shared" si="67"/>
        <v>11905.4737</v>
      </c>
      <c r="AC118">
        <f>ROUND((SUM(SmtRes!BQ166:'SmtRes'!BQ174)),6)</f>
        <v>2612.337</v>
      </c>
      <c r="AD118">
        <f>ROUND((((SUM(SmtRes!BR166:'SmtRes'!BR174))-(SUM(SmtRes!BS166:'SmtRes'!BS174)))+AE118),6)</f>
        <v>421.27670000000001</v>
      </c>
      <c r="AE118">
        <f>ROUND((SUM(SmtRes!BS166:'SmtRes'!BS174)),6)</f>
        <v>195.41329999999999</v>
      </c>
      <c r="AF118">
        <f>ROUND((SUM(SmtRes!BT166:'SmtRes'!BT174)),6)</f>
        <v>8871.86</v>
      </c>
      <c r="AG118">
        <f t="shared" si="68"/>
        <v>0</v>
      </c>
      <c r="AH118">
        <f>(SUM(SmtRes!BU166:'SmtRes'!BU174))</f>
        <v>18.5</v>
      </c>
      <c r="AI118">
        <f>(SUM(SmtRes!BV166:'SmtRes'!BV174))</f>
        <v>0.34</v>
      </c>
      <c r="AJ118">
        <f t="shared" si="69"/>
        <v>0</v>
      </c>
      <c r="AK118">
        <v>12100.887000000001</v>
      </c>
      <c r="AL118">
        <v>2612.3369999999995</v>
      </c>
      <c r="AM118">
        <v>421.27670000000001</v>
      </c>
      <c r="AN118">
        <v>195.41330000000002</v>
      </c>
      <c r="AO118">
        <v>8871.86</v>
      </c>
      <c r="AP118">
        <v>0</v>
      </c>
      <c r="AQ118">
        <v>18.5</v>
      </c>
      <c r="AR118">
        <v>0.34</v>
      </c>
      <c r="AS118">
        <v>0</v>
      </c>
      <c r="AT118">
        <v>97</v>
      </c>
      <c r="AU118">
        <v>51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2</v>
      </c>
      <c r="BJ118" t="s">
        <v>136</v>
      </c>
      <c r="BM118">
        <v>108001</v>
      </c>
      <c r="BN118">
        <v>0</v>
      </c>
      <c r="BO118" t="s">
        <v>3</v>
      </c>
      <c r="BP118">
        <v>0</v>
      </c>
      <c r="BQ118">
        <v>3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97</v>
      </c>
      <c r="CA118">
        <v>51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70"/>
        <v>13580.230000000001</v>
      </c>
      <c r="CQ118">
        <f>SUMIF(SmtRes!AQ166:'SmtRes'!AQ174,"=1",SmtRes!AA166:'SmtRes'!AA174)</f>
        <v>62442.159999999996</v>
      </c>
      <c r="CR118">
        <f>SUMIF(SmtRes!AQ166:'SmtRes'!AQ174,"=1",SmtRes!AB166:'SmtRes'!AB174)</f>
        <v>2155.7900000000004</v>
      </c>
      <c r="CS118">
        <f>SUMIF(SmtRes!AQ166:'SmtRes'!AQ174,"=1",SmtRes!AC166:'SmtRes'!AC174)</f>
        <v>1149.49</v>
      </c>
      <c r="CT118">
        <f>SUMIF(SmtRes!AQ166:'SmtRes'!AQ174,"=1",SmtRes!AD166:'SmtRes'!AD174)</f>
        <v>479.56</v>
      </c>
      <c r="CU118">
        <f t="shared" si="71"/>
        <v>0</v>
      </c>
      <c r="CV118">
        <f>SUMIF(SmtRes!AQ166:'SmtRes'!AQ174,"=1",SmtRes!BU166:'SmtRes'!BU174)</f>
        <v>18.5</v>
      </c>
      <c r="CW118">
        <f>SUMIF(SmtRes!AQ166:'SmtRes'!AQ174,"=1",SmtRes!BV166:'SmtRes'!BV174)</f>
        <v>0.34</v>
      </c>
      <c r="CX118">
        <f t="shared" si="72"/>
        <v>0</v>
      </c>
      <c r="CY118">
        <f t="shared" si="73"/>
        <v>9498.8705000000009</v>
      </c>
      <c r="CZ118">
        <f t="shared" si="74"/>
        <v>4994.2515000000012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1003</v>
      </c>
      <c r="DV118" t="s">
        <v>135</v>
      </c>
      <c r="DW118" t="s">
        <v>135</v>
      </c>
      <c r="DX118">
        <v>100</v>
      </c>
      <c r="DZ118" t="s">
        <v>3</v>
      </c>
      <c r="EA118" t="s">
        <v>3</v>
      </c>
      <c r="EB118" t="s">
        <v>3</v>
      </c>
      <c r="EC118" t="s">
        <v>3</v>
      </c>
      <c r="EE118">
        <v>64850885</v>
      </c>
      <c r="EF118">
        <v>3</v>
      </c>
      <c r="EG118" t="s">
        <v>113</v>
      </c>
      <c r="EH118">
        <v>0</v>
      </c>
      <c r="EI118" t="s">
        <v>3</v>
      </c>
      <c r="EJ118">
        <v>2</v>
      </c>
      <c r="EK118">
        <v>108001</v>
      </c>
      <c r="EL118" t="s">
        <v>114</v>
      </c>
      <c r="EM118" t="s">
        <v>115</v>
      </c>
      <c r="EO118" t="s">
        <v>3</v>
      </c>
      <c r="EQ118">
        <v>0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18.5</v>
      </c>
      <c r="EX118">
        <v>0.34</v>
      </c>
      <c r="EY118">
        <v>0</v>
      </c>
      <c r="FQ118">
        <v>0</v>
      </c>
      <c r="FR118">
        <f t="shared" si="75"/>
        <v>0</v>
      </c>
      <c r="FS118">
        <v>0</v>
      </c>
      <c r="FX118">
        <v>97</v>
      </c>
      <c r="FY118">
        <v>51</v>
      </c>
      <c r="GA118" t="s">
        <v>3</v>
      </c>
      <c r="GD118">
        <v>1</v>
      </c>
      <c r="GF118">
        <v>215970687</v>
      </c>
      <c r="GG118">
        <v>2</v>
      </c>
      <c r="GH118">
        <v>1</v>
      </c>
      <c r="GI118">
        <v>-2</v>
      </c>
      <c r="GJ118">
        <v>0</v>
      </c>
      <c r="GK118">
        <v>0</v>
      </c>
      <c r="GL118">
        <f t="shared" si="76"/>
        <v>0</v>
      </c>
      <c r="GM118">
        <f t="shared" si="77"/>
        <v>28073.35</v>
      </c>
      <c r="GN118">
        <f t="shared" si="78"/>
        <v>0</v>
      </c>
      <c r="GO118">
        <f t="shared" si="79"/>
        <v>28073.35</v>
      </c>
      <c r="GP118">
        <f t="shared" si="80"/>
        <v>0</v>
      </c>
      <c r="GR118">
        <v>0</v>
      </c>
      <c r="GS118">
        <v>3</v>
      </c>
      <c r="GT118">
        <v>0</v>
      </c>
      <c r="GU118" t="s">
        <v>3</v>
      </c>
      <c r="GV118">
        <f t="shared" si="81"/>
        <v>0</v>
      </c>
      <c r="GW118">
        <v>1</v>
      </c>
      <c r="GX118">
        <f t="shared" si="82"/>
        <v>0</v>
      </c>
      <c r="HA118">
        <v>0</v>
      </c>
      <c r="HB118">
        <v>0</v>
      </c>
      <c r="HC118">
        <f t="shared" si="83"/>
        <v>0</v>
      </c>
      <c r="HE118" t="s">
        <v>3</v>
      </c>
      <c r="HF118" t="s">
        <v>3</v>
      </c>
      <c r="HM118" t="s">
        <v>3</v>
      </c>
      <c r="HN118" t="s">
        <v>117</v>
      </c>
      <c r="HO118" t="s">
        <v>118</v>
      </c>
      <c r="HP118" t="s">
        <v>114</v>
      </c>
      <c r="HQ118" t="s">
        <v>114</v>
      </c>
      <c r="IK118">
        <v>0</v>
      </c>
    </row>
    <row r="120" spans="1:245" x14ac:dyDescent="0.2">
      <c r="A120" s="2">
        <v>51</v>
      </c>
      <c r="B120" s="2">
        <f>B104</f>
        <v>1</v>
      </c>
      <c r="C120" s="2">
        <f>A104</f>
        <v>4</v>
      </c>
      <c r="D120" s="2">
        <f>ROW(A104)</f>
        <v>104</v>
      </c>
      <c r="E120" s="2"/>
      <c r="F120" s="2" t="str">
        <f>IF(F104&lt;&gt;"",F104,"")</f>
        <v>Новый раздел</v>
      </c>
      <c r="G120" s="2" t="str">
        <f>IF(G104&lt;&gt;"",G104,"")</f>
        <v>Монтажные работы</v>
      </c>
      <c r="H120" s="2">
        <v>0</v>
      </c>
      <c r="I120" s="2"/>
      <c r="J120" s="2"/>
      <c r="K120" s="2"/>
      <c r="L120" s="2"/>
      <c r="M120" s="2"/>
      <c r="N120" s="2"/>
      <c r="O120" s="2">
        <f t="shared" ref="O120:T120" si="84">ROUND(AB120,2)</f>
        <v>423775.58</v>
      </c>
      <c r="P120" s="2">
        <f t="shared" si="84"/>
        <v>17438.169999999998</v>
      </c>
      <c r="Q120" s="2">
        <f t="shared" si="84"/>
        <v>147299.60999999999</v>
      </c>
      <c r="R120" s="2">
        <f t="shared" si="84"/>
        <v>58769.17</v>
      </c>
      <c r="S120" s="2">
        <f t="shared" si="84"/>
        <v>200268.63</v>
      </c>
      <c r="T120" s="2">
        <f t="shared" si="84"/>
        <v>0</v>
      </c>
      <c r="U120" s="2">
        <f>AH120</f>
        <v>427.42200000000003</v>
      </c>
      <c r="V120" s="2">
        <f>AI120</f>
        <v>107.2787</v>
      </c>
      <c r="W120" s="2">
        <f>ROUND(AJ120,2)</f>
        <v>0</v>
      </c>
      <c r="X120" s="2">
        <f>ROUND(AK120,2)</f>
        <v>262185.53000000003</v>
      </c>
      <c r="Y120" s="2">
        <f>ROUND(AL120,2)</f>
        <v>148487.54999999999</v>
      </c>
      <c r="Z120" s="2"/>
      <c r="AA120" s="2"/>
      <c r="AB120" s="2">
        <f>ROUND(SUMIF(AA108:AA118,"=65178645",O108:O118),2)</f>
        <v>423775.58</v>
      </c>
      <c r="AC120" s="2">
        <f>ROUND(SUMIF(AA108:AA118,"=65178645",P108:P118),2)</f>
        <v>17438.169999999998</v>
      </c>
      <c r="AD120" s="2">
        <f>ROUND(SUMIF(AA108:AA118,"=65178645",Q108:Q118),2)</f>
        <v>147299.60999999999</v>
      </c>
      <c r="AE120" s="2">
        <f>ROUND(SUMIF(AA108:AA118,"=65178645",R108:R118),2)</f>
        <v>58769.17</v>
      </c>
      <c r="AF120" s="2">
        <f>ROUND(SUMIF(AA108:AA118,"=65178645",S108:S118),2)</f>
        <v>200268.63</v>
      </c>
      <c r="AG120" s="2">
        <f>ROUND(SUMIF(AA108:AA118,"=65178645",T108:T118),2)</f>
        <v>0</v>
      </c>
      <c r="AH120" s="2">
        <f>SUMIF(AA108:AA118,"=65178645",U108:U118)</f>
        <v>427.42200000000003</v>
      </c>
      <c r="AI120" s="2">
        <f>SUMIF(AA108:AA118,"=65178645",V108:V118)</f>
        <v>107.2787</v>
      </c>
      <c r="AJ120" s="2">
        <f>ROUND(SUMIF(AA108:AA118,"=65178645",W108:W118),2)</f>
        <v>0</v>
      </c>
      <c r="AK120" s="2">
        <f>ROUND(SUMIF(AA108:AA118,"=65178645",X108:X118),2)</f>
        <v>262185.53000000003</v>
      </c>
      <c r="AL120" s="2">
        <f>ROUND(SUMIF(AA108:AA118,"=65178645",Y108:Y118),2)</f>
        <v>148487.54999999999</v>
      </c>
      <c r="AM120" s="2"/>
      <c r="AN120" s="2"/>
      <c r="AO120" s="2">
        <f t="shared" ref="AO120:BD120" si="85">ROUND(BX120,2)</f>
        <v>0</v>
      </c>
      <c r="AP120" s="2">
        <f t="shared" si="85"/>
        <v>0</v>
      </c>
      <c r="AQ120" s="2">
        <f t="shared" si="85"/>
        <v>0</v>
      </c>
      <c r="AR120" s="2">
        <f t="shared" si="85"/>
        <v>834448.66</v>
      </c>
      <c r="AS120" s="2">
        <f t="shared" si="85"/>
        <v>614314.06000000006</v>
      </c>
      <c r="AT120" s="2">
        <f t="shared" si="85"/>
        <v>220134.6</v>
      </c>
      <c r="AU120" s="2">
        <f t="shared" si="85"/>
        <v>0</v>
      </c>
      <c r="AV120" s="2">
        <f t="shared" si="85"/>
        <v>17438.169999999998</v>
      </c>
      <c r="AW120" s="2">
        <f t="shared" si="85"/>
        <v>17438.169999999998</v>
      </c>
      <c r="AX120" s="2">
        <f t="shared" si="85"/>
        <v>0</v>
      </c>
      <c r="AY120" s="2">
        <f t="shared" si="85"/>
        <v>17438.169999999998</v>
      </c>
      <c r="AZ120" s="2">
        <f t="shared" si="85"/>
        <v>0</v>
      </c>
      <c r="BA120" s="2">
        <f t="shared" si="85"/>
        <v>0</v>
      </c>
      <c r="BB120" s="2">
        <f t="shared" si="85"/>
        <v>0</v>
      </c>
      <c r="BC120" s="2">
        <f t="shared" si="85"/>
        <v>0</v>
      </c>
      <c r="BD120" s="2">
        <f t="shared" si="85"/>
        <v>0</v>
      </c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>
        <f>ROUND(SUMIF(AA108:AA118,"=65178645",FQ108:FQ118),2)</f>
        <v>0</v>
      </c>
      <c r="BY120" s="2">
        <f>ROUND(SUMIF(AA108:AA118,"=65178645",FR108:FR118),2)</f>
        <v>0</v>
      </c>
      <c r="BZ120" s="2">
        <f>ROUND(SUMIF(AA108:AA118,"=65178645",GL108:GL118),2)</f>
        <v>0</v>
      </c>
      <c r="CA120" s="2">
        <f>ROUND(SUMIF(AA108:AA118,"=65178645",GM108:GM118),2)</f>
        <v>834448.66</v>
      </c>
      <c r="CB120" s="2">
        <f>ROUND(SUMIF(AA108:AA118,"=65178645",GN108:GN118),2)</f>
        <v>614314.06000000006</v>
      </c>
      <c r="CC120" s="2">
        <f>ROUND(SUMIF(AA108:AA118,"=65178645",GO108:GO118),2)</f>
        <v>220134.6</v>
      </c>
      <c r="CD120" s="2">
        <f>ROUND(SUMIF(AA108:AA118,"=65178645",GP108:GP118),2)</f>
        <v>0</v>
      </c>
      <c r="CE120" s="2">
        <f>AC120-BX120</f>
        <v>17438.169999999998</v>
      </c>
      <c r="CF120" s="2">
        <f>AC120-BY120</f>
        <v>17438.169999999998</v>
      </c>
      <c r="CG120" s="2">
        <f>BX120-BZ120</f>
        <v>0</v>
      </c>
      <c r="CH120" s="2">
        <f>AC120-BX120-BY120+BZ120</f>
        <v>17438.169999999998</v>
      </c>
      <c r="CI120" s="2">
        <f>BY120-BZ120</f>
        <v>0</v>
      </c>
      <c r="CJ120" s="2">
        <f>ROUND(SUMIF(AA108:AA118,"=65178645",GX108:GX118),2)</f>
        <v>0</v>
      </c>
      <c r="CK120" s="2">
        <f>ROUND(SUMIF(AA108:AA118,"=65178645",GY108:GY118),2)</f>
        <v>0</v>
      </c>
      <c r="CL120" s="2">
        <f>ROUND(SUMIF(AA108:AA118,"=65178645",GZ108:GZ118),2)</f>
        <v>0</v>
      </c>
      <c r="CM120" s="2">
        <f>ROUND(SUMIF(AA108:AA118,"=65178645",HD108:HD118),2)</f>
        <v>0</v>
      </c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>
        <v>0</v>
      </c>
    </row>
    <row r="122" spans="1:245" x14ac:dyDescent="0.2">
      <c r="A122" s="4">
        <v>50</v>
      </c>
      <c r="B122" s="4">
        <v>0</v>
      </c>
      <c r="C122" s="4">
        <v>0</v>
      </c>
      <c r="D122" s="4">
        <v>1</v>
      </c>
      <c r="E122" s="4">
        <v>201</v>
      </c>
      <c r="F122" s="4">
        <f>ROUND(Source!O120,O122)</f>
        <v>423775.58</v>
      </c>
      <c r="G122" s="4" t="s">
        <v>17</v>
      </c>
      <c r="H122" s="4" t="s">
        <v>18</v>
      </c>
      <c r="I122" s="4"/>
      <c r="J122" s="4"/>
      <c r="K122" s="4">
        <v>201</v>
      </c>
      <c r="L122" s="4">
        <v>1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423775.57999999996</v>
      </c>
      <c r="X122" s="4">
        <v>1</v>
      </c>
      <c r="Y122" s="4">
        <v>423775.57999999996</v>
      </c>
      <c r="Z122" s="4"/>
      <c r="AA122" s="4"/>
      <c r="AB122" s="4"/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202</v>
      </c>
      <c r="F123" s="4">
        <f>ROUND(Source!P120,O123)</f>
        <v>17438.169999999998</v>
      </c>
      <c r="G123" s="4" t="s">
        <v>19</v>
      </c>
      <c r="H123" s="4" t="s">
        <v>20</v>
      </c>
      <c r="I123" s="4"/>
      <c r="J123" s="4"/>
      <c r="K123" s="4">
        <v>202</v>
      </c>
      <c r="L123" s="4">
        <v>2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17438.169999999998</v>
      </c>
      <c r="X123" s="4">
        <v>1</v>
      </c>
      <c r="Y123" s="4">
        <v>17438.169999999998</v>
      </c>
      <c r="Z123" s="4"/>
      <c r="AA123" s="4"/>
      <c r="AB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222</v>
      </c>
      <c r="F124" s="4">
        <f>ROUND(Source!AO120,O124)</f>
        <v>0</v>
      </c>
      <c r="G124" s="4" t="s">
        <v>21</v>
      </c>
      <c r="H124" s="4" t="s">
        <v>22</v>
      </c>
      <c r="I124" s="4"/>
      <c r="J124" s="4"/>
      <c r="K124" s="4">
        <v>222</v>
      </c>
      <c r="L124" s="4">
        <v>3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225</v>
      </c>
      <c r="F125" s="4">
        <f>ROUND(Source!AV120,O125)</f>
        <v>17438.169999999998</v>
      </c>
      <c r="G125" s="4" t="s">
        <v>23</v>
      </c>
      <c r="H125" s="4" t="s">
        <v>24</v>
      </c>
      <c r="I125" s="4"/>
      <c r="J125" s="4"/>
      <c r="K125" s="4">
        <v>225</v>
      </c>
      <c r="L125" s="4">
        <v>4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17438.169999999998</v>
      </c>
      <c r="X125" s="4">
        <v>1</v>
      </c>
      <c r="Y125" s="4">
        <v>17438.169999999998</v>
      </c>
      <c r="Z125" s="4"/>
      <c r="AA125" s="4"/>
      <c r="AB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226</v>
      </c>
      <c r="F126" s="4">
        <f>ROUND(Source!AW120,O126)</f>
        <v>17438.169999999998</v>
      </c>
      <c r="G126" s="4" t="s">
        <v>25</v>
      </c>
      <c r="H126" s="4" t="s">
        <v>26</v>
      </c>
      <c r="I126" s="4"/>
      <c r="J126" s="4"/>
      <c r="K126" s="4">
        <v>226</v>
      </c>
      <c r="L126" s="4">
        <v>5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17438.169999999998</v>
      </c>
      <c r="X126" s="4">
        <v>1</v>
      </c>
      <c r="Y126" s="4">
        <v>17438.169999999998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227</v>
      </c>
      <c r="F127" s="4">
        <f>ROUND(Source!AX120,O127)</f>
        <v>0</v>
      </c>
      <c r="G127" s="4" t="s">
        <v>27</v>
      </c>
      <c r="H127" s="4" t="s">
        <v>28</v>
      </c>
      <c r="I127" s="4"/>
      <c r="J127" s="4"/>
      <c r="K127" s="4">
        <v>227</v>
      </c>
      <c r="L127" s="4">
        <v>6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228</v>
      </c>
      <c r="F128" s="4">
        <f>ROUND(Source!AY120,O128)</f>
        <v>17438.169999999998</v>
      </c>
      <c r="G128" s="4" t="s">
        <v>29</v>
      </c>
      <c r="H128" s="4" t="s">
        <v>30</v>
      </c>
      <c r="I128" s="4"/>
      <c r="J128" s="4"/>
      <c r="K128" s="4">
        <v>228</v>
      </c>
      <c r="L128" s="4">
        <v>7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17438.169999999998</v>
      </c>
      <c r="X128" s="4">
        <v>1</v>
      </c>
      <c r="Y128" s="4">
        <v>17438.169999999998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216</v>
      </c>
      <c r="F129" s="4">
        <f>ROUND(Source!AP120,O129)</f>
        <v>0</v>
      </c>
      <c r="G129" s="4" t="s">
        <v>31</v>
      </c>
      <c r="H129" s="4" t="s">
        <v>32</v>
      </c>
      <c r="I129" s="4"/>
      <c r="J129" s="4"/>
      <c r="K129" s="4">
        <v>216</v>
      </c>
      <c r="L129" s="4">
        <v>8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223</v>
      </c>
      <c r="F130" s="4">
        <f>ROUND(Source!AQ120,O130)</f>
        <v>0</v>
      </c>
      <c r="G130" s="4" t="s">
        <v>33</v>
      </c>
      <c r="H130" s="4" t="s">
        <v>34</v>
      </c>
      <c r="I130" s="4"/>
      <c r="J130" s="4"/>
      <c r="K130" s="4">
        <v>223</v>
      </c>
      <c r="L130" s="4">
        <v>9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229</v>
      </c>
      <c r="F131" s="4">
        <f>ROUND(Source!AZ120,O131)</f>
        <v>0</v>
      </c>
      <c r="G131" s="4" t="s">
        <v>35</v>
      </c>
      <c r="H131" s="4" t="s">
        <v>36</v>
      </c>
      <c r="I131" s="4"/>
      <c r="J131" s="4"/>
      <c r="K131" s="4">
        <v>229</v>
      </c>
      <c r="L131" s="4">
        <v>10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203</v>
      </c>
      <c r="F132" s="4">
        <f>ROUND(Source!Q120,O132)</f>
        <v>147299.60999999999</v>
      </c>
      <c r="G132" s="4" t="s">
        <v>37</v>
      </c>
      <c r="H132" s="4" t="s">
        <v>38</v>
      </c>
      <c r="I132" s="4"/>
      <c r="J132" s="4"/>
      <c r="K132" s="4">
        <v>203</v>
      </c>
      <c r="L132" s="4">
        <v>11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147299.60999999999</v>
      </c>
      <c r="X132" s="4">
        <v>1</v>
      </c>
      <c r="Y132" s="4">
        <v>147299.60999999999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231</v>
      </c>
      <c r="F133" s="4">
        <f>ROUND(Source!BB120,O133)</f>
        <v>0</v>
      </c>
      <c r="G133" s="4" t="s">
        <v>39</v>
      </c>
      <c r="H133" s="4" t="s">
        <v>40</v>
      </c>
      <c r="I133" s="4"/>
      <c r="J133" s="4"/>
      <c r="K133" s="4">
        <v>231</v>
      </c>
      <c r="L133" s="4">
        <v>12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204</v>
      </c>
      <c r="F134" s="4">
        <f>ROUND(Source!R120,O134)</f>
        <v>58769.17</v>
      </c>
      <c r="G134" s="4" t="s">
        <v>41</v>
      </c>
      <c r="H134" s="4" t="s">
        <v>42</v>
      </c>
      <c r="I134" s="4"/>
      <c r="J134" s="4"/>
      <c r="K134" s="4">
        <v>204</v>
      </c>
      <c r="L134" s="4">
        <v>13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58769.17</v>
      </c>
      <c r="X134" s="4">
        <v>1</v>
      </c>
      <c r="Y134" s="4">
        <v>58769.17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205</v>
      </c>
      <c r="F135" s="4">
        <f>ROUND(Source!S120,O135)</f>
        <v>200268.63</v>
      </c>
      <c r="G135" s="4" t="s">
        <v>43</v>
      </c>
      <c r="H135" s="4" t="s">
        <v>44</v>
      </c>
      <c r="I135" s="4"/>
      <c r="J135" s="4"/>
      <c r="K135" s="4">
        <v>205</v>
      </c>
      <c r="L135" s="4">
        <v>14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200268.63</v>
      </c>
      <c r="X135" s="4">
        <v>1</v>
      </c>
      <c r="Y135" s="4">
        <v>200268.63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232</v>
      </c>
      <c r="F136" s="4">
        <f>ROUND(Source!BC120,O136)</f>
        <v>0</v>
      </c>
      <c r="G136" s="4" t="s">
        <v>45</v>
      </c>
      <c r="H136" s="4" t="s">
        <v>46</v>
      </c>
      <c r="I136" s="4"/>
      <c r="J136" s="4"/>
      <c r="K136" s="4">
        <v>232</v>
      </c>
      <c r="L136" s="4">
        <v>15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214</v>
      </c>
      <c r="F137" s="4">
        <f>ROUND(Source!AS120,O137)</f>
        <v>614314.06000000006</v>
      </c>
      <c r="G137" s="4" t="s">
        <v>47</v>
      </c>
      <c r="H137" s="4" t="s">
        <v>48</v>
      </c>
      <c r="I137" s="4"/>
      <c r="J137" s="4"/>
      <c r="K137" s="4">
        <v>214</v>
      </c>
      <c r="L137" s="4">
        <v>16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614314.06000000006</v>
      </c>
      <c r="X137" s="4">
        <v>1</v>
      </c>
      <c r="Y137" s="4">
        <v>614314.06000000006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215</v>
      </c>
      <c r="F138" s="4">
        <f>ROUND(Source!AT120,O138)</f>
        <v>220134.6</v>
      </c>
      <c r="G138" s="4" t="s">
        <v>49</v>
      </c>
      <c r="H138" s="4" t="s">
        <v>50</v>
      </c>
      <c r="I138" s="4"/>
      <c r="J138" s="4"/>
      <c r="K138" s="4">
        <v>215</v>
      </c>
      <c r="L138" s="4">
        <v>17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220134.6</v>
      </c>
      <c r="X138" s="4">
        <v>1</v>
      </c>
      <c r="Y138" s="4">
        <v>220134.6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217</v>
      </c>
      <c r="F139" s="4">
        <f>ROUND(Source!AU120,O139)</f>
        <v>0</v>
      </c>
      <c r="G139" s="4" t="s">
        <v>51</v>
      </c>
      <c r="H139" s="4" t="s">
        <v>52</v>
      </c>
      <c r="I139" s="4"/>
      <c r="J139" s="4"/>
      <c r="K139" s="4">
        <v>217</v>
      </c>
      <c r="L139" s="4">
        <v>18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230</v>
      </c>
      <c r="F140" s="4">
        <f>ROUND(Source!BA120,O140)</f>
        <v>0</v>
      </c>
      <c r="G140" s="4" t="s">
        <v>53</v>
      </c>
      <c r="H140" s="4" t="s">
        <v>54</v>
      </c>
      <c r="I140" s="4"/>
      <c r="J140" s="4"/>
      <c r="K140" s="4">
        <v>230</v>
      </c>
      <c r="L140" s="4">
        <v>19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206</v>
      </c>
      <c r="F141" s="4">
        <f>ROUND(Source!T120,O141)</f>
        <v>0</v>
      </c>
      <c r="G141" s="4" t="s">
        <v>55</v>
      </c>
      <c r="H141" s="4" t="s">
        <v>56</v>
      </c>
      <c r="I141" s="4"/>
      <c r="J141" s="4"/>
      <c r="K141" s="4">
        <v>206</v>
      </c>
      <c r="L141" s="4">
        <v>20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207</v>
      </c>
      <c r="F142" s="4">
        <f>ROUND(Source!U120,O142)</f>
        <v>427.42200000000003</v>
      </c>
      <c r="G142" s="4" t="s">
        <v>57</v>
      </c>
      <c r="H142" s="4" t="s">
        <v>58</v>
      </c>
      <c r="I142" s="4"/>
      <c r="J142" s="4"/>
      <c r="K142" s="4">
        <v>207</v>
      </c>
      <c r="L142" s="4">
        <v>21</v>
      </c>
      <c r="M142" s="4">
        <v>3</v>
      </c>
      <c r="N142" s="4" t="s">
        <v>3</v>
      </c>
      <c r="O142" s="4">
        <v>7</v>
      </c>
      <c r="P142" s="4"/>
      <c r="Q142" s="4"/>
      <c r="R142" s="4"/>
      <c r="S142" s="4"/>
      <c r="T142" s="4"/>
      <c r="U142" s="4"/>
      <c r="V142" s="4"/>
      <c r="W142" s="4">
        <v>427.42200000000003</v>
      </c>
      <c r="X142" s="4">
        <v>1</v>
      </c>
      <c r="Y142" s="4">
        <v>427.42200000000003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208</v>
      </c>
      <c r="F143" s="4">
        <f>ROUND(Source!V120,O143)</f>
        <v>107.2787</v>
      </c>
      <c r="G143" s="4" t="s">
        <v>59</v>
      </c>
      <c r="H143" s="4" t="s">
        <v>60</v>
      </c>
      <c r="I143" s="4"/>
      <c r="J143" s="4"/>
      <c r="K143" s="4">
        <v>208</v>
      </c>
      <c r="L143" s="4">
        <v>22</v>
      </c>
      <c r="M143" s="4">
        <v>3</v>
      </c>
      <c r="N143" s="4" t="s">
        <v>3</v>
      </c>
      <c r="O143" s="4">
        <v>7</v>
      </c>
      <c r="P143" s="4"/>
      <c r="Q143" s="4"/>
      <c r="R143" s="4"/>
      <c r="S143" s="4"/>
      <c r="T143" s="4"/>
      <c r="U143" s="4"/>
      <c r="V143" s="4"/>
      <c r="W143" s="4">
        <v>107.2787</v>
      </c>
      <c r="X143" s="4">
        <v>1</v>
      </c>
      <c r="Y143" s="4">
        <v>107.2787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209</v>
      </c>
      <c r="F144" s="4">
        <f>ROUND(Source!W120,O144)</f>
        <v>0</v>
      </c>
      <c r="G144" s="4" t="s">
        <v>61</v>
      </c>
      <c r="H144" s="4" t="s">
        <v>62</v>
      </c>
      <c r="I144" s="4"/>
      <c r="J144" s="4"/>
      <c r="K144" s="4">
        <v>209</v>
      </c>
      <c r="L144" s="4">
        <v>23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233</v>
      </c>
      <c r="F145" s="4">
        <f>ROUND(Source!BD120,O145)</f>
        <v>0</v>
      </c>
      <c r="G145" s="4" t="s">
        <v>63</v>
      </c>
      <c r="H145" s="4" t="s">
        <v>64</v>
      </c>
      <c r="I145" s="4"/>
      <c r="J145" s="4"/>
      <c r="K145" s="4">
        <v>233</v>
      </c>
      <c r="L145" s="4">
        <v>24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210</v>
      </c>
      <c r="F146" s="4">
        <f>ROUND(Source!X120,O146)</f>
        <v>262185.53000000003</v>
      </c>
      <c r="G146" s="4" t="s">
        <v>65</v>
      </c>
      <c r="H146" s="4" t="s">
        <v>66</v>
      </c>
      <c r="I146" s="4"/>
      <c r="J146" s="4"/>
      <c r="K146" s="4">
        <v>210</v>
      </c>
      <c r="L146" s="4">
        <v>25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262185.53000000003</v>
      </c>
      <c r="X146" s="4">
        <v>1</v>
      </c>
      <c r="Y146" s="4">
        <v>262185.53000000003</v>
      </c>
      <c r="Z146" s="4"/>
      <c r="AA146" s="4"/>
      <c r="AB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211</v>
      </c>
      <c r="F147" s="4">
        <f>ROUND(Source!Y120,O147)</f>
        <v>148487.54999999999</v>
      </c>
      <c r="G147" s="4" t="s">
        <v>67</v>
      </c>
      <c r="H147" s="4" t="s">
        <v>68</v>
      </c>
      <c r="I147" s="4"/>
      <c r="J147" s="4"/>
      <c r="K147" s="4">
        <v>211</v>
      </c>
      <c r="L147" s="4">
        <v>26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148487.54999999999</v>
      </c>
      <c r="X147" s="4">
        <v>1</v>
      </c>
      <c r="Y147" s="4">
        <v>148487.54999999999</v>
      </c>
      <c r="Z147" s="4"/>
      <c r="AA147" s="4"/>
      <c r="AB147" s="4"/>
    </row>
    <row r="148" spans="1:245" x14ac:dyDescent="0.2">
      <c r="A148" s="4">
        <v>50</v>
      </c>
      <c r="B148" s="4">
        <v>0</v>
      </c>
      <c r="C148" s="4">
        <v>0</v>
      </c>
      <c r="D148" s="4">
        <v>1</v>
      </c>
      <c r="E148" s="4">
        <v>224</v>
      </c>
      <c r="F148" s="4">
        <f>ROUND(Source!AR120,O148)</f>
        <v>834448.66</v>
      </c>
      <c r="G148" s="4" t="s">
        <v>69</v>
      </c>
      <c r="H148" s="4" t="s">
        <v>70</v>
      </c>
      <c r="I148" s="4"/>
      <c r="J148" s="4"/>
      <c r="K148" s="4">
        <v>224</v>
      </c>
      <c r="L148" s="4">
        <v>27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834448.65999999992</v>
      </c>
      <c r="X148" s="4">
        <v>1</v>
      </c>
      <c r="Y148" s="4">
        <v>834448.65999999992</v>
      </c>
      <c r="Z148" s="4"/>
      <c r="AA148" s="4"/>
      <c r="AB148" s="4"/>
    </row>
    <row r="150" spans="1:245" x14ac:dyDescent="0.2">
      <c r="A150" s="1">
        <v>4</v>
      </c>
      <c r="B150" s="1">
        <v>1</v>
      </c>
      <c r="C150" s="1"/>
      <c r="D150" s="1">
        <f>ROW(A172)</f>
        <v>172</v>
      </c>
      <c r="E150" s="1"/>
      <c r="F150" s="1" t="s">
        <v>72</v>
      </c>
      <c r="G150" s="1" t="s">
        <v>176</v>
      </c>
      <c r="H150" s="1" t="s">
        <v>3</v>
      </c>
      <c r="I150" s="1">
        <v>0</v>
      </c>
      <c r="J150" s="1"/>
      <c r="K150" s="1">
        <v>0</v>
      </c>
      <c r="L150" s="1"/>
      <c r="M150" s="1" t="s">
        <v>3</v>
      </c>
      <c r="N150" s="1"/>
      <c r="O150" s="1"/>
      <c r="P150" s="1"/>
      <c r="Q150" s="1"/>
      <c r="R150" s="1"/>
      <c r="S150" s="1">
        <v>0</v>
      </c>
      <c r="T150" s="1"/>
      <c r="U150" s="1" t="s">
        <v>3</v>
      </c>
      <c r="V150" s="1">
        <v>0</v>
      </c>
      <c r="W150" s="1"/>
      <c r="X150" s="1"/>
      <c r="Y150" s="1"/>
      <c r="Z150" s="1"/>
      <c r="AA150" s="1"/>
      <c r="AB150" s="1" t="s">
        <v>3</v>
      </c>
      <c r="AC150" s="1" t="s">
        <v>3</v>
      </c>
      <c r="AD150" s="1" t="s">
        <v>3</v>
      </c>
      <c r="AE150" s="1" t="s">
        <v>3</v>
      </c>
      <c r="AF150" s="1" t="s">
        <v>3</v>
      </c>
      <c r="AG150" s="1" t="s">
        <v>3</v>
      </c>
      <c r="AH150" s="1"/>
      <c r="AI150" s="1"/>
      <c r="AJ150" s="1"/>
      <c r="AK150" s="1"/>
      <c r="AL150" s="1"/>
      <c r="AM150" s="1"/>
      <c r="AN150" s="1"/>
      <c r="AO150" s="1"/>
      <c r="AP150" s="1" t="s">
        <v>3</v>
      </c>
      <c r="AQ150" s="1" t="s">
        <v>3</v>
      </c>
      <c r="AR150" s="1" t="s">
        <v>3</v>
      </c>
      <c r="AS150" s="1"/>
      <c r="AT150" s="1"/>
      <c r="AU150" s="1"/>
      <c r="AV150" s="1"/>
      <c r="AW150" s="1"/>
      <c r="AX150" s="1"/>
      <c r="AY150" s="1"/>
      <c r="AZ150" s="1" t="s">
        <v>3</v>
      </c>
      <c r="BA150" s="1"/>
      <c r="BB150" s="1" t="s">
        <v>3</v>
      </c>
      <c r="BC150" s="1" t="s">
        <v>3</v>
      </c>
      <c r="BD150" s="1" t="s">
        <v>3</v>
      </c>
      <c r="BE150" s="1" t="s">
        <v>3</v>
      </c>
      <c r="BF150" s="1" t="s">
        <v>3</v>
      </c>
      <c r="BG150" s="1" t="s">
        <v>3</v>
      </c>
      <c r="BH150" s="1" t="s">
        <v>3</v>
      </c>
      <c r="BI150" s="1" t="s">
        <v>3</v>
      </c>
      <c r="BJ150" s="1" t="s">
        <v>3</v>
      </c>
      <c r="BK150" s="1" t="s">
        <v>3</v>
      </c>
      <c r="BL150" s="1" t="s">
        <v>3</v>
      </c>
      <c r="BM150" s="1" t="s">
        <v>3</v>
      </c>
      <c r="BN150" s="1" t="s">
        <v>3</v>
      </c>
      <c r="BO150" s="1" t="s">
        <v>3</v>
      </c>
      <c r="BP150" s="1" t="s">
        <v>3</v>
      </c>
      <c r="BQ150" s="1"/>
      <c r="BR150" s="1"/>
      <c r="BS150" s="1"/>
      <c r="BT150" s="1"/>
      <c r="BU150" s="1"/>
      <c r="BV150" s="1"/>
      <c r="BW150" s="1"/>
      <c r="BX150" s="1">
        <v>0</v>
      </c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>
        <v>0</v>
      </c>
    </row>
    <row r="152" spans="1:245" x14ac:dyDescent="0.2">
      <c r="A152" s="2">
        <v>52</v>
      </c>
      <c r="B152" s="2">
        <f t="shared" ref="B152:G152" si="86">B172</f>
        <v>1</v>
      </c>
      <c r="C152" s="2">
        <f t="shared" si="86"/>
        <v>4</v>
      </c>
      <c r="D152" s="2">
        <f t="shared" si="86"/>
        <v>150</v>
      </c>
      <c r="E152" s="2">
        <f t="shared" si="86"/>
        <v>0</v>
      </c>
      <c r="F152" s="2" t="str">
        <f t="shared" si="86"/>
        <v>Новый раздел</v>
      </c>
      <c r="G152" s="2" t="str">
        <f t="shared" si="86"/>
        <v>Материалы не учтенные ценником</v>
      </c>
      <c r="H152" s="2"/>
      <c r="I152" s="2"/>
      <c r="J152" s="2"/>
      <c r="K152" s="2"/>
      <c r="L152" s="2"/>
      <c r="M152" s="2"/>
      <c r="N152" s="2"/>
      <c r="O152" s="2">
        <f t="shared" ref="O152:AT152" si="87">O172</f>
        <v>801833.24</v>
      </c>
      <c r="P152" s="2">
        <f t="shared" si="87"/>
        <v>801833.24</v>
      </c>
      <c r="Q152" s="2">
        <f t="shared" si="87"/>
        <v>0</v>
      </c>
      <c r="R152" s="2">
        <f t="shared" si="87"/>
        <v>0</v>
      </c>
      <c r="S152" s="2">
        <f t="shared" si="87"/>
        <v>0</v>
      </c>
      <c r="T152" s="2">
        <f t="shared" si="87"/>
        <v>0</v>
      </c>
      <c r="U152" s="2">
        <f t="shared" si="87"/>
        <v>0</v>
      </c>
      <c r="V152" s="2">
        <f t="shared" si="87"/>
        <v>0</v>
      </c>
      <c r="W152" s="2">
        <f t="shared" si="87"/>
        <v>0</v>
      </c>
      <c r="X152" s="2">
        <f t="shared" si="87"/>
        <v>0</v>
      </c>
      <c r="Y152" s="2">
        <f t="shared" si="87"/>
        <v>0</v>
      </c>
      <c r="Z152" s="2">
        <f t="shared" si="87"/>
        <v>0</v>
      </c>
      <c r="AA152" s="2">
        <f t="shared" si="87"/>
        <v>0</v>
      </c>
      <c r="AB152" s="2">
        <f t="shared" si="87"/>
        <v>801833.24</v>
      </c>
      <c r="AC152" s="2">
        <f t="shared" si="87"/>
        <v>801833.24</v>
      </c>
      <c r="AD152" s="2">
        <f t="shared" si="87"/>
        <v>0</v>
      </c>
      <c r="AE152" s="2">
        <f t="shared" si="87"/>
        <v>0</v>
      </c>
      <c r="AF152" s="2">
        <f t="shared" si="87"/>
        <v>0</v>
      </c>
      <c r="AG152" s="2">
        <f t="shared" si="87"/>
        <v>0</v>
      </c>
      <c r="AH152" s="2">
        <f t="shared" si="87"/>
        <v>0</v>
      </c>
      <c r="AI152" s="2">
        <f t="shared" si="87"/>
        <v>0</v>
      </c>
      <c r="AJ152" s="2">
        <f t="shared" si="87"/>
        <v>0</v>
      </c>
      <c r="AK152" s="2">
        <f t="shared" si="87"/>
        <v>0</v>
      </c>
      <c r="AL152" s="2">
        <f t="shared" si="87"/>
        <v>0</v>
      </c>
      <c r="AM152" s="2">
        <f t="shared" si="87"/>
        <v>0</v>
      </c>
      <c r="AN152" s="2">
        <f t="shared" si="87"/>
        <v>0</v>
      </c>
      <c r="AO152" s="2">
        <f t="shared" si="87"/>
        <v>17632.439999999999</v>
      </c>
      <c r="AP152" s="2">
        <f t="shared" si="87"/>
        <v>0</v>
      </c>
      <c r="AQ152" s="2">
        <f t="shared" si="87"/>
        <v>0</v>
      </c>
      <c r="AR152" s="2">
        <f t="shared" si="87"/>
        <v>801833.24</v>
      </c>
      <c r="AS152" s="2">
        <f t="shared" si="87"/>
        <v>367160.35</v>
      </c>
      <c r="AT152" s="2">
        <f t="shared" si="87"/>
        <v>434672.89</v>
      </c>
      <c r="AU152" s="2">
        <f t="shared" ref="AU152:BZ152" si="88">AU172</f>
        <v>0</v>
      </c>
      <c r="AV152" s="2">
        <f t="shared" si="88"/>
        <v>784200.8</v>
      </c>
      <c r="AW152" s="2">
        <f t="shared" si="88"/>
        <v>801833.24</v>
      </c>
      <c r="AX152" s="2">
        <f t="shared" si="88"/>
        <v>17632.439999999999</v>
      </c>
      <c r="AY152" s="2">
        <f t="shared" si="88"/>
        <v>784200.8</v>
      </c>
      <c r="AZ152" s="2">
        <f t="shared" si="88"/>
        <v>0</v>
      </c>
      <c r="BA152" s="2">
        <f t="shared" si="88"/>
        <v>0</v>
      </c>
      <c r="BB152" s="2">
        <f t="shared" si="88"/>
        <v>0</v>
      </c>
      <c r="BC152" s="2">
        <f t="shared" si="88"/>
        <v>0</v>
      </c>
      <c r="BD152" s="2">
        <f t="shared" si="88"/>
        <v>0</v>
      </c>
      <c r="BE152" s="2">
        <f t="shared" si="88"/>
        <v>0</v>
      </c>
      <c r="BF152" s="2">
        <f t="shared" si="88"/>
        <v>0</v>
      </c>
      <c r="BG152" s="2">
        <f t="shared" si="88"/>
        <v>0</v>
      </c>
      <c r="BH152" s="2">
        <f t="shared" si="88"/>
        <v>0</v>
      </c>
      <c r="BI152" s="2">
        <f t="shared" si="88"/>
        <v>0</v>
      </c>
      <c r="BJ152" s="2">
        <f t="shared" si="88"/>
        <v>0</v>
      </c>
      <c r="BK152" s="2">
        <f t="shared" si="88"/>
        <v>0</v>
      </c>
      <c r="BL152" s="2">
        <f t="shared" si="88"/>
        <v>0</v>
      </c>
      <c r="BM152" s="2">
        <f t="shared" si="88"/>
        <v>0</v>
      </c>
      <c r="BN152" s="2">
        <f t="shared" si="88"/>
        <v>0</v>
      </c>
      <c r="BO152" s="2">
        <f t="shared" si="88"/>
        <v>0</v>
      </c>
      <c r="BP152" s="2">
        <f t="shared" si="88"/>
        <v>0</v>
      </c>
      <c r="BQ152" s="2">
        <f t="shared" si="88"/>
        <v>0</v>
      </c>
      <c r="BR152" s="2">
        <f t="shared" si="88"/>
        <v>0</v>
      </c>
      <c r="BS152" s="2">
        <f t="shared" si="88"/>
        <v>0</v>
      </c>
      <c r="BT152" s="2">
        <f t="shared" si="88"/>
        <v>0</v>
      </c>
      <c r="BU152" s="2">
        <f t="shared" si="88"/>
        <v>0</v>
      </c>
      <c r="BV152" s="2">
        <f t="shared" si="88"/>
        <v>0</v>
      </c>
      <c r="BW152" s="2">
        <f t="shared" si="88"/>
        <v>0</v>
      </c>
      <c r="BX152" s="2">
        <f t="shared" si="88"/>
        <v>17632.439999999999</v>
      </c>
      <c r="BY152" s="2">
        <f t="shared" si="88"/>
        <v>0</v>
      </c>
      <c r="BZ152" s="2">
        <f t="shared" si="88"/>
        <v>0</v>
      </c>
      <c r="CA152" s="2">
        <f t="shared" ref="CA152:DF152" si="89">CA172</f>
        <v>801833.24</v>
      </c>
      <c r="CB152" s="2">
        <f t="shared" si="89"/>
        <v>367160.35</v>
      </c>
      <c r="CC152" s="2">
        <f t="shared" si="89"/>
        <v>434672.89</v>
      </c>
      <c r="CD152" s="2">
        <f t="shared" si="89"/>
        <v>0</v>
      </c>
      <c r="CE152" s="2">
        <f t="shared" si="89"/>
        <v>784200.8</v>
      </c>
      <c r="CF152" s="2">
        <f t="shared" si="89"/>
        <v>801833.24</v>
      </c>
      <c r="CG152" s="2">
        <f t="shared" si="89"/>
        <v>17632.439999999999</v>
      </c>
      <c r="CH152" s="2">
        <f t="shared" si="89"/>
        <v>784200.8</v>
      </c>
      <c r="CI152" s="2">
        <f t="shared" si="89"/>
        <v>0</v>
      </c>
      <c r="CJ152" s="2">
        <f t="shared" si="89"/>
        <v>0</v>
      </c>
      <c r="CK152" s="2">
        <f t="shared" si="89"/>
        <v>0</v>
      </c>
      <c r="CL152" s="2">
        <f t="shared" si="89"/>
        <v>0</v>
      </c>
      <c r="CM152" s="2">
        <f t="shared" si="89"/>
        <v>0</v>
      </c>
      <c r="CN152" s="2">
        <f t="shared" si="89"/>
        <v>0</v>
      </c>
      <c r="CO152" s="2">
        <f t="shared" si="89"/>
        <v>0</v>
      </c>
      <c r="CP152" s="2">
        <f t="shared" si="89"/>
        <v>0</v>
      </c>
      <c r="CQ152" s="2">
        <f t="shared" si="89"/>
        <v>0</v>
      </c>
      <c r="CR152" s="2">
        <f t="shared" si="89"/>
        <v>0</v>
      </c>
      <c r="CS152" s="2">
        <f t="shared" si="89"/>
        <v>0</v>
      </c>
      <c r="CT152" s="2">
        <f t="shared" si="89"/>
        <v>0</v>
      </c>
      <c r="CU152" s="2">
        <f t="shared" si="89"/>
        <v>0</v>
      </c>
      <c r="CV152" s="2">
        <f t="shared" si="89"/>
        <v>0</v>
      </c>
      <c r="CW152" s="2">
        <f t="shared" si="89"/>
        <v>0</v>
      </c>
      <c r="CX152" s="2">
        <f t="shared" si="89"/>
        <v>0</v>
      </c>
      <c r="CY152" s="2">
        <f t="shared" si="89"/>
        <v>0</v>
      </c>
      <c r="CZ152" s="2">
        <f t="shared" si="89"/>
        <v>0</v>
      </c>
      <c r="DA152" s="2">
        <f t="shared" si="89"/>
        <v>0</v>
      </c>
      <c r="DB152" s="2">
        <f t="shared" si="89"/>
        <v>0</v>
      </c>
      <c r="DC152" s="2">
        <f t="shared" si="89"/>
        <v>0</v>
      </c>
      <c r="DD152" s="2">
        <f t="shared" si="89"/>
        <v>0</v>
      </c>
      <c r="DE152" s="2">
        <f t="shared" si="89"/>
        <v>0</v>
      </c>
      <c r="DF152" s="2">
        <f t="shared" si="89"/>
        <v>0</v>
      </c>
      <c r="DG152" s="3">
        <f t="shared" ref="DG152:EL152" si="90">DG172</f>
        <v>0</v>
      </c>
      <c r="DH152" s="3">
        <f t="shared" si="90"/>
        <v>0</v>
      </c>
      <c r="DI152" s="3">
        <f t="shared" si="90"/>
        <v>0</v>
      </c>
      <c r="DJ152" s="3">
        <f t="shared" si="90"/>
        <v>0</v>
      </c>
      <c r="DK152" s="3">
        <f t="shared" si="90"/>
        <v>0</v>
      </c>
      <c r="DL152" s="3">
        <f t="shared" si="90"/>
        <v>0</v>
      </c>
      <c r="DM152" s="3">
        <f t="shared" si="90"/>
        <v>0</v>
      </c>
      <c r="DN152" s="3">
        <f t="shared" si="90"/>
        <v>0</v>
      </c>
      <c r="DO152" s="3">
        <f t="shared" si="90"/>
        <v>0</v>
      </c>
      <c r="DP152" s="3">
        <f t="shared" si="90"/>
        <v>0</v>
      </c>
      <c r="DQ152" s="3">
        <f t="shared" si="90"/>
        <v>0</v>
      </c>
      <c r="DR152" s="3">
        <f t="shared" si="90"/>
        <v>0</v>
      </c>
      <c r="DS152" s="3">
        <f t="shared" si="90"/>
        <v>0</v>
      </c>
      <c r="DT152" s="3">
        <f t="shared" si="90"/>
        <v>0</v>
      </c>
      <c r="DU152" s="3">
        <f t="shared" si="90"/>
        <v>0</v>
      </c>
      <c r="DV152" s="3">
        <f t="shared" si="90"/>
        <v>0</v>
      </c>
      <c r="DW152" s="3">
        <f t="shared" si="90"/>
        <v>0</v>
      </c>
      <c r="DX152" s="3">
        <f t="shared" si="90"/>
        <v>0</v>
      </c>
      <c r="DY152" s="3">
        <f t="shared" si="90"/>
        <v>0</v>
      </c>
      <c r="DZ152" s="3">
        <f t="shared" si="90"/>
        <v>0</v>
      </c>
      <c r="EA152" s="3">
        <f t="shared" si="90"/>
        <v>0</v>
      </c>
      <c r="EB152" s="3">
        <f t="shared" si="90"/>
        <v>0</v>
      </c>
      <c r="EC152" s="3">
        <f t="shared" si="90"/>
        <v>0</v>
      </c>
      <c r="ED152" s="3">
        <f t="shared" si="90"/>
        <v>0</v>
      </c>
      <c r="EE152" s="3">
        <f t="shared" si="90"/>
        <v>0</v>
      </c>
      <c r="EF152" s="3">
        <f t="shared" si="90"/>
        <v>0</v>
      </c>
      <c r="EG152" s="3">
        <f t="shared" si="90"/>
        <v>0</v>
      </c>
      <c r="EH152" s="3">
        <f t="shared" si="90"/>
        <v>0</v>
      </c>
      <c r="EI152" s="3">
        <f t="shared" si="90"/>
        <v>0</v>
      </c>
      <c r="EJ152" s="3">
        <f t="shared" si="90"/>
        <v>0</v>
      </c>
      <c r="EK152" s="3">
        <f t="shared" si="90"/>
        <v>0</v>
      </c>
      <c r="EL152" s="3">
        <f t="shared" si="90"/>
        <v>0</v>
      </c>
      <c r="EM152" s="3">
        <f t="shared" ref="EM152:FR152" si="91">EM172</f>
        <v>0</v>
      </c>
      <c r="EN152" s="3">
        <f t="shared" si="91"/>
        <v>0</v>
      </c>
      <c r="EO152" s="3">
        <f t="shared" si="91"/>
        <v>0</v>
      </c>
      <c r="EP152" s="3">
        <f t="shared" si="91"/>
        <v>0</v>
      </c>
      <c r="EQ152" s="3">
        <f t="shared" si="91"/>
        <v>0</v>
      </c>
      <c r="ER152" s="3">
        <f t="shared" si="91"/>
        <v>0</v>
      </c>
      <c r="ES152" s="3">
        <f t="shared" si="91"/>
        <v>0</v>
      </c>
      <c r="ET152" s="3">
        <f t="shared" si="91"/>
        <v>0</v>
      </c>
      <c r="EU152" s="3">
        <f t="shared" si="91"/>
        <v>0</v>
      </c>
      <c r="EV152" s="3">
        <f t="shared" si="91"/>
        <v>0</v>
      </c>
      <c r="EW152" s="3">
        <f t="shared" si="91"/>
        <v>0</v>
      </c>
      <c r="EX152" s="3">
        <f t="shared" si="91"/>
        <v>0</v>
      </c>
      <c r="EY152" s="3">
        <f t="shared" si="91"/>
        <v>0</v>
      </c>
      <c r="EZ152" s="3">
        <f t="shared" si="91"/>
        <v>0</v>
      </c>
      <c r="FA152" s="3">
        <f t="shared" si="91"/>
        <v>0</v>
      </c>
      <c r="FB152" s="3">
        <f t="shared" si="91"/>
        <v>0</v>
      </c>
      <c r="FC152" s="3">
        <f t="shared" si="91"/>
        <v>0</v>
      </c>
      <c r="FD152" s="3">
        <f t="shared" si="91"/>
        <v>0</v>
      </c>
      <c r="FE152" s="3">
        <f t="shared" si="91"/>
        <v>0</v>
      </c>
      <c r="FF152" s="3">
        <f t="shared" si="91"/>
        <v>0</v>
      </c>
      <c r="FG152" s="3">
        <f t="shared" si="91"/>
        <v>0</v>
      </c>
      <c r="FH152" s="3">
        <f t="shared" si="91"/>
        <v>0</v>
      </c>
      <c r="FI152" s="3">
        <f t="shared" si="91"/>
        <v>0</v>
      </c>
      <c r="FJ152" s="3">
        <f t="shared" si="91"/>
        <v>0</v>
      </c>
      <c r="FK152" s="3">
        <f t="shared" si="91"/>
        <v>0</v>
      </c>
      <c r="FL152" s="3">
        <f t="shared" si="91"/>
        <v>0</v>
      </c>
      <c r="FM152" s="3">
        <f t="shared" si="91"/>
        <v>0</v>
      </c>
      <c r="FN152" s="3">
        <f t="shared" si="91"/>
        <v>0</v>
      </c>
      <c r="FO152" s="3">
        <f t="shared" si="91"/>
        <v>0</v>
      </c>
      <c r="FP152" s="3">
        <f t="shared" si="91"/>
        <v>0</v>
      </c>
      <c r="FQ152" s="3">
        <f t="shared" si="91"/>
        <v>0</v>
      </c>
      <c r="FR152" s="3">
        <f t="shared" si="91"/>
        <v>0</v>
      </c>
      <c r="FS152" s="3">
        <f t="shared" ref="FS152:GX152" si="92">FS172</f>
        <v>0</v>
      </c>
      <c r="FT152" s="3">
        <f t="shared" si="92"/>
        <v>0</v>
      </c>
      <c r="FU152" s="3">
        <f t="shared" si="92"/>
        <v>0</v>
      </c>
      <c r="FV152" s="3">
        <f t="shared" si="92"/>
        <v>0</v>
      </c>
      <c r="FW152" s="3">
        <f t="shared" si="92"/>
        <v>0</v>
      </c>
      <c r="FX152" s="3">
        <f t="shared" si="92"/>
        <v>0</v>
      </c>
      <c r="FY152" s="3">
        <f t="shared" si="92"/>
        <v>0</v>
      </c>
      <c r="FZ152" s="3">
        <f t="shared" si="92"/>
        <v>0</v>
      </c>
      <c r="GA152" s="3">
        <f t="shared" si="92"/>
        <v>0</v>
      </c>
      <c r="GB152" s="3">
        <f t="shared" si="92"/>
        <v>0</v>
      </c>
      <c r="GC152" s="3">
        <f t="shared" si="92"/>
        <v>0</v>
      </c>
      <c r="GD152" s="3">
        <f t="shared" si="92"/>
        <v>0</v>
      </c>
      <c r="GE152" s="3">
        <f t="shared" si="92"/>
        <v>0</v>
      </c>
      <c r="GF152" s="3">
        <f t="shared" si="92"/>
        <v>0</v>
      </c>
      <c r="GG152" s="3">
        <f t="shared" si="92"/>
        <v>0</v>
      </c>
      <c r="GH152" s="3">
        <f t="shared" si="92"/>
        <v>0</v>
      </c>
      <c r="GI152" s="3">
        <f t="shared" si="92"/>
        <v>0</v>
      </c>
      <c r="GJ152" s="3">
        <f t="shared" si="92"/>
        <v>0</v>
      </c>
      <c r="GK152" s="3">
        <f t="shared" si="92"/>
        <v>0</v>
      </c>
      <c r="GL152" s="3">
        <f t="shared" si="92"/>
        <v>0</v>
      </c>
      <c r="GM152" s="3">
        <f t="shared" si="92"/>
        <v>0</v>
      </c>
      <c r="GN152" s="3">
        <f t="shared" si="92"/>
        <v>0</v>
      </c>
      <c r="GO152" s="3">
        <f t="shared" si="92"/>
        <v>0</v>
      </c>
      <c r="GP152" s="3">
        <f t="shared" si="92"/>
        <v>0</v>
      </c>
      <c r="GQ152" s="3">
        <f t="shared" si="92"/>
        <v>0</v>
      </c>
      <c r="GR152" s="3">
        <f t="shared" si="92"/>
        <v>0</v>
      </c>
      <c r="GS152" s="3">
        <f t="shared" si="92"/>
        <v>0</v>
      </c>
      <c r="GT152" s="3">
        <f t="shared" si="92"/>
        <v>0</v>
      </c>
      <c r="GU152" s="3">
        <f t="shared" si="92"/>
        <v>0</v>
      </c>
      <c r="GV152" s="3">
        <f t="shared" si="92"/>
        <v>0</v>
      </c>
      <c r="GW152" s="3">
        <f t="shared" si="92"/>
        <v>0</v>
      </c>
      <c r="GX152" s="3">
        <f t="shared" si="92"/>
        <v>0</v>
      </c>
    </row>
    <row r="154" spans="1:245" x14ac:dyDescent="0.2">
      <c r="A154">
        <v>17</v>
      </c>
      <c r="B154">
        <v>1</v>
      </c>
      <c r="E154" t="s">
        <v>177</v>
      </c>
      <c r="F154" t="s">
        <v>178</v>
      </c>
      <c r="G154" t="s">
        <v>179</v>
      </c>
      <c r="H154" t="s">
        <v>180</v>
      </c>
      <c r="I154">
        <v>13.2</v>
      </c>
      <c r="J154">
        <v>0</v>
      </c>
      <c r="K154">
        <v>13.2</v>
      </c>
      <c r="O154">
        <f t="shared" ref="O154:O170" si="93">ROUND(CP154,2)</f>
        <v>333057.12</v>
      </c>
      <c r="P154">
        <f t="shared" ref="P154:P170" si="94">ROUND(CQ154*I154,2)</f>
        <v>333057.12</v>
      </c>
      <c r="Q154">
        <f t="shared" ref="Q154:Q170" si="95">ROUND(CR154*I154,2)</f>
        <v>0</v>
      </c>
      <c r="R154">
        <f t="shared" ref="R154:R170" si="96">ROUND(CS154*I154,2)</f>
        <v>0</v>
      </c>
      <c r="S154">
        <f t="shared" ref="S154:S170" si="97">ROUND(CT154*I154,2)</f>
        <v>0</v>
      </c>
      <c r="T154">
        <f t="shared" ref="T154:T170" si="98">ROUND(CU154*I154,2)</f>
        <v>0</v>
      </c>
      <c r="U154">
        <f t="shared" ref="U154:U170" si="99">ROUND(CV154*I154,7)</f>
        <v>0</v>
      </c>
      <c r="V154">
        <f t="shared" ref="V154:V170" si="100">ROUND(CW154*I154,7)</f>
        <v>0</v>
      </c>
      <c r="W154">
        <f t="shared" ref="W154:W170" si="101">ROUND(CX154*I154,2)</f>
        <v>0</v>
      </c>
      <c r="X154">
        <f t="shared" ref="X154:X170" si="102">ROUND(CY154,2)</f>
        <v>0</v>
      </c>
      <c r="Y154">
        <f t="shared" ref="Y154:Y170" si="103">ROUND(CZ154,2)</f>
        <v>0</v>
      </c>
      <c r="AA154">
        <v>65178645</v>
      </c>
      <c r="AB154">
        <f t="shared" ref="AB154:AB170" si="104">ROUND((AC154+AD154+AF154),6)</f>
        <v>26011.96</v>
      </c>
      <c r="AC154">
        <f t="shared" ref="AC154:AC170" si="105">ROUND((ES154),6)</f>
        <v>26011.96</v>
      </c>
      <c r="AD154">
        <f t="shared" ref="AD154:AD170" si="106">ROUND((((ET154)-(EU154))+AE154),6)</f>
        <v>0</v>
      </c>
      <c r="AE154">
        <f t="shared" ref="AE154:AE170" si="107">ROUND((EU154),6)</f>
        <v>0</v>
      </c>
      <c r="AF154">
        <f t="shared" ref="AF154:AF170" si="108">ROUND((EV154),6)</f>
        <v>0</v>
      </c>
      <c r="AG154">
        <f t="shared" ref="AG154:AG170" si="109">ROUND((AP154),6)</f>
        <v>0</v>
      </c>
      <c r="AH154">
        <f t="shared" ref="AH154:AH170" si="110">(EW154)</f>
        <v>0</v>
      </c>
      <c r="AI154">
        <f t="shared" ref="AI154:AI170" si="111">(EX154)</f>
        <v>0</v>
      </c>
      <c r="AJ154">
        <f t="shared" ref="AJ154:AJ170" si="112">(AS154)</f>
        <v>0</v>
      </c>
      <c r="AK154">
        <v>26011.96</v>
      </c>
      <c r="AL154">
        <v>26011.96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0.97</v>
      </c>
      <c r="BD154" t="s">
        <v>3</v>
      </c>
      <c r="BE154" t="s">
        <v>3</v>
      </c>
      <c r="BF154" t="s">
        <v>3</v>
      </c>
      <c r="BG154" t="s">
        <v>3</v>
      </c>
      <c r="BH154">
        <v>3</v>
      </c>
      <c r="BI154">
        <v>1</v>
      </c>
      <c r="BJ154" t="s">
        <v>181</v>
      </c>
      <c r="BM154">
        <v>500001</v>
      </c>
      <c r="BN154">
        <v>0</v>
      </c>
      <c r="BO154" t="s">
        <v>178</v>
      </c>
      <c r="BP154">
        <v>1</v>
      </c>
      <c r="BQ154">
        <v>8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0</v>
      </c>
      <c r="CA154">
        <v>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ref="CP154:CP170" si="113">(P154+Q154+S154+R154)</f>
        <v>333057.12</v>
      </c>
      <c r="CQ154">
        <f t="shared" ref="CQ154:CQ170" si="114">ROUND(AL154*BC154,2)</f>
        <v>25231.599999999999</v>
      </c>
      <c r="CR154">
        <f t="shared" ref="CR154:CR170" si="115">ROUND(AM154*BB154,2)</f>
        <v>0</v>
      </c>
      <c r="CS154">
        <f t="shared" ref="CS154:CS170" si="116">ROUND(AN154*BS154,2)</f>
        <v>0</v>
      </c>
      <c r="CT154">
        <f t="shared" ref="CT154:CT170" si="117">ROUND(AO154*BA154,2)</f>
        <v>0</v>
      </c>
      <c r="CU154">
        <f t="shared" ref="CU154:CU170" si="118">AG154</f>
        <v>0</v>
      </c>
      <c r="CV154">
        <f t="shared" ref="CV154:CV170" si="119">AH154</f>
        <v>0</v>
      </c>
      <c r="CW154">
        <f t="shared" ref="CW154:CW170" si="120">AI154</f>
        <v>0</v>
      </c>
      <c r="CX154">
        <f t="shared" ref="CX154:CX170" si="121">AJ154</f>
        <v>0</v>
      </c>
      <c r="CY154">
        <f>0</f>
        <v>0</v>
      </c>
      <c r="CZ154">
        <f>0</f>
        <v>0</v>
      </c>
      <c r="DC154" t="s">
        <v>3</v>
      </c>
      <c r="DD154" t="s">
        <v>3</v>
      </c>
      <c r="DE154" t="s">
        <v>3</v>
      </c>
      <c r="DF154" t="s">
        <v>3</v>
      </c>
      <c r="DG154" t="s">
        <v>3</v>
      </c>
      <c r="DH154" t="s">
        <v>3</v>
      </c>
      <c r="DI154" t="s">
        <v>3</v>
      </c>
      <c r="DJ154" t="s">
        <v>3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1007</v>
      </c>
      <c r="DV154" t="s">
        <v>180</v>
      </c>
      <c r="DW154" t="s">
        <v>180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64850935</v>
      </c>
      <c r="EF154">
        <v>8</v>
      </c>
      <c r="EG154" t="s">
        <v>182</v>
      </c>
      <c r="EH154">
        <v>0</v>
      </c>
      <c r="EI154" t="s">
        <v>3</v>
      </c>
      <c r="EJ154">
        <v>1</v>
      </c>
      <c r="EK154">
        <v>500001</v>
      </c>
      <c r="EL154" t="s">
        <v>183</v>
      </c>
      <c r="EM154" t="s">
        <v>184</v>
      </c>
      <c r="EO154" t="s">
        <v>3</v>
      </c>
      <c r="EQ154">
        <v>0</v>
      </c>
      <c r="ER154">
        <v>26011.96</v>
      </c>
      <c r="ES154">
        <v>26011.96</v>
      </c>
      <c r="ET154">
        <v>0</v>
      </c>
      <c r="EU154">
        <v>0</v>
      </c>
      <c r="EV154">
        <v>0</v>
      </c>
      <c r="EW154">
        <v>0</v>
      </c>
      <c r="EX154">
        <v>0</v>
      </c>
      <c r="EY154">
        <v>0</v>
      </c>
      <c r="FQ154">
        <v>0</v>
      </c>
      <c r="FR154">
        <f t="shared" ref="FR154:FR170" si="122">ROUND(IF(BI154=3,GM154,0),2)</f>
        <v>0</v>
      </c>
      <c r="FS154">
        <v>0</v>
      </c>
      <c r="FX154">
        <v>0</v>
      </c>
      <c r="FY154">
        <v>0</v>
      </c>
      <c r="GA154" t="s">
        <v>3</v>
      </c>
      <c r="GD154">
        <v>1</v>
      </c>
      <c r="GF154">
        <v>1963039078</v>
      </c>
      <c r="GG154">
        <v>2</v>
      </c>
      <c r="GH154">
        <v>1</v>
      </c>
      <c r="GI154">
        <v>2</v>
      </c>
      <c r="GJ154">
        <v>0</v>
      </c>
      <c r="GK154">
        <v>0</v>
      </c>
      <c r="GL154">
        <f t="shared" ref="GL154:GL170" si="123">ROUND(IF(AND(BH154=3,BI154=3,FS154&lt;&gt;0),P154,0),2)</f>
        <v>0</v>
      </c>
      <c r="GM154">
        <f t="shared" ref="GM154:GM170" si="124">ROUND(O154+X154+Y154,2)+GX154</f>
        <v>333057.12</v>
      </c>
      <c r="GN154">
        <f t="shared" ref="GN154:GN170" si="125">IF(OR(BI154=0,BI154=1),GM154-GX154,0)</f>
        <v>333057.12</v>
      </c>
      <c r="GO154">
        <f t="shared" ref="GO154:GO170" si="126">IF(BI154=2,GM154-GX154,0)</f>
        <v>0</v>
      </c>
      <c r="GP154">
        <f t="shared" ref="GP154:GP170" si="127">IF(BI154=4,GM154-GX154,0)</f>
        <v>0</v>
      </c>
      <c r="GR154">
        <v>0</v>
      </c>
      <c r="GS154">
        <v>3</v>
      </c>
      <c r="GT154">
        <v>0</v>
      </c>
      <c r="GU154" t="s">
        <v>3</v>
      </c>
      <c r="GV154">
        <f t="shared" ref="GV154:GV170" si="128">ROUND((GT154),6)</f>
        <v>0</v>
      </c>
      <c r="GW154">
        <v>1</v>
      </c>
      <c r="GX154">
        <f t="shared" ref="GX154:GX170" si="129">ROUND(HC154*I154,2)</f>
        <v>0</v>
      </c>
      <c r="HA154">
        <v>0</v>
      </c>
      <c r="HB154">
        <v>0</v>
      </c>
      <c r="HC154">
        <f t="shared" ref="HC154:HC170" si="130">GV154*GW154</f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">
      <c r="A155">
        <v>17</v>
      </c>
      <c r="B155">
        <v>1</v>
      </c>
      <c r="E155" t="s">
        <v>185</v>
      </c>
      <c r="F155" t="s">
        <v>186</v>
      </c>
      <c r="G155" t="s">
        <v>187</v>
      </c>
      <c r="H155" t="s">
        <v>156</v>
      </c>
      <c r="I155">
        <f>ROUND(867/1000,7)</f>
        <v>0.86699999999999999</v>
      </c>
      <c r="J155">
        <v>0</v>
      </c>
      <c r="K155">
        <f>ROUND(867/1000,7)</f>
        <v>0.86699999999999999</v>
      </c>
      <c r="O155">
        <f t="shared" si="93"/>
        <v>303379.53000000003</v>
      </c>
      <c r="P155">
        <f t="shared" si="94"/>
        <v>303379.53000000003</v>
      </c>
      <c r="Q155">
        <f t="shared" si="95"/>
        <v>0</v>
      </c>
      <c r="R155">
        <f t="shared" si="96"/>
        <v>0</v>
      </c>
      <c r="S155">
        <f t="shared" si="97"/>
        <v>0</v>
      </c>
      <c r="T155">
        <f t="shared" si="98"/>
        <v>0</v>
      </c>
      <c r="U155">
        <f t="shared" si="99"/>
        <v>0</v>
      </c>
      <c r="V155">
        <f t="shared" si="100"/>
        <v>0</v>
      </c>
      <c r="W155">
        <f t="shared" si="101"/>
        <v>0</v>
      </c>
      <c r="X155">
        <f t="shared" si="102"/>
        <v>0</v>
      </c>
      <c r="Y155">
        <f t="shared" si="103"/>
        <v>0</v>
      </c>
      <c r="AA155">
        <v>65178645</v>
      </c>
      <c r="AB155">
        <f t="shared" si="104"/>
        <v>253564.29</v>
      </c>
      <c r="AC155">
        <f t="shared" si="105"/>
        <v>253564.29</v>
      </c>
      <c r="AD155">
        <f t="shared" si="106"/>
        <v>0</v>
      </c>
      <c r="AE155">
        <f t="shared" si="107"/>
        <v>0</v>
      </c>
      <c r="AF155">
        <f t="shared" si="108"/>
        <v>0</v>
      </c>
      <c r="AG155">
        <f t="shared" si="109"/>
        <v>0</v>
      </c>
      <c r="AH155">
        <f t="shared" si="110"/>
        <v>0</v>
      </c>
      <c r="AI155">
        <f t="shared" si="111"/>
        <v>0</v>
      </c>
      <c r="AJ155">
        <f t="shared" si="112"/>
        <v>0</v>
      </c>
      <c r="AK155">
        <v>253564.29</v>
      </c>
      <c r="AL155">
        <v>253564.29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1.38</v>
      </c>
      <c r="BD155" t="s">
        <v>3</v>
      </c>
      <c r="BE155" t="s">
        <v>3</v>
      </c>
      <c r="BF155" t="s">
        <v>3</v>
      </c>
      <c r="BG155" t="s">
        <v>3</v>
      </c>
      <c r="BH155">
        <v>3</v>
      </c>
      <c r="BI155">
        <v>2</v>
      </c>
      <c r="BJ155" t="s">
        <v>188</v>
      </c>
      <c r="BM155">
        <v>500002</v>
      </c>
      <c r="BN155">
        <v>0</v>
      </c>
      <c r="BO155" t="s">
        <v>186</v>
      </c>
      <c r="BP155">
        <v>1</v>
      </c>
      <c r="BQ155">
        <v>12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0</v>
      </c>
      <c r="CA155">
        <v>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113"/>
        <v>303379.53000000003</v>
      </c>
      <c r="CQ155">
        <f t="shared" si="114"/>
        <v>349918.71999999997</v>
      </c>
      <c r="CR155">
        <f t="shared" si="115"/>
        <v>0</v>
      </c>
      <c r="CS155">
        <f t="shared" si="116"/>
        <v>0</v>
      </c>
      <c r="CT155">
        <f t="shared" si="117"/>
        <v>0</v>
      </c>
      <c r="CU155">
        <f t="shared" si="118"/>
        <v>0</v>
      </c>
      <c r="CV155">
        <f t="shared" si="119"/>
        <v>0</v>
      </c>
      <c r="CW155">
        <f t="shared" si="120"/>
        <v>0</v>
      </c>
      <c r="CX155">
        <f t="shared" si="121"/>
        <v>0</v>
      </c>
      <c r="CY155">
        <f>0</f>
        <v>0</v>
      </c>
      <c r="CZ155">
        <f>0</f>
        <v>0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1013</v>
      </c>
      <c r="DV155" t="s">
        <v>156</v>
      </c>
      <c r="DW155" t="s">
        <v>158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64850936</v>
      </c>
      <c r="EF155">
        <v>12</v>
      </c>
      <c r="EG155" t="s">
        <v>189</v>
      </c>
      <c r="EH155">
        <v>0</v>
      </c>
      <c r="EI155" t="s">
        <v>3</v>
      </c>
      <c r="EJ155">
        <v>2</v>
      </c>
      <c r="EK155">
        <v>500002</v>
      </c>
      <c r="EL155" t="s">
        <v>190</v>
      </c>
      <c r="EM155" t="s">
        <v>191</v>
      </c>
      <c r="EO155" t="s">
        <v>3</v>
      </c>
      <c r="EQ155">
        <v>0</v>
      </c>
      <c r="ER155">
        <v>253564.29</v>
      </c>
      <c r="ES155">
        <v>253564.29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FQ155">
        <v>0</v>
      </c>
      <c r="FR155">
        <f t="shared" si="122"/>
        <v>0</v>
      </c>
      <c r="FS155">
        <v>0</v>
      </c>
      <c r="FX155">
        <v>0</v>
      </c>
      <c r="FY155">
        <v>0</v>
      </c>
      <c r="GA155" t="s">
        <v>3</v>
      </c>
      <c r="GD155">
        <v>1</v>
      </c>
      <c r="GF155">
        <v>-812818968</v>
      </c>
      <c r="GG155">
        <v>2</v>
      </c>
      <c r="GH155">
        <v>1</v>
      </c>
      <c r="GI155">
        <v>2</v>
      </c>
      <c r="GJ155">
        <v>0</v>
      </c>
      <c r="GK155">
        <v>0</v>
      </c>
      <c r="GL155">
        <f t="shared" si="123"/>
        <v>0</v>
      </c>
      <c r="GM155">
        <f t="shared" si="124"/>
        <v>303379.53000000003</v>
      </c>
      <c r="GN155">
        <f t="shared" si="125"/>
        <v>0</v>
      </c>
      <c r="GO155">
        <f t="shared" si="126"/>
        <v>303379.53000000003</v>
      </c>
      <c r="GP155">
        <f t="shared" si="127"/>
        <v>0</v>
      </c>
      <c r="GR155">
        <v>0</v>
      </c>
      <c r="GS155">
        <v>3</v>
      </c>
      <c r="GT155">
        <v>0</v>
      </c>
      <c r="GU155" t="s">
        <v>3</v>
      </c>
      <c r="GV155">
        <f t="shared" si="128"/>
        <v>0</v>
      </c>
      <c r="GW155">
        <v>1</v>
      </c>
      <c r="GX155">
        <f t="shared" si="129"/>
        <v>0</v>
      </c>
      <c r="HA155">
        <v>0</v>
      </c>
      <c r="HB155">
        <v>0</v>
      </c>
      <c r="HC155">
        <f t="shared" si="130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">
      <c r="A156">
        <v>17</v>
      </c>
      <c r="B156">
        <v>1</v>
      </c>
      <c r="E156" t="s">
        <v>192</v>
      </c>
      <c r="F156" t="s">
        <v>193</v>
      </c>
      <c r="G156" t="s">
        <v>194</v>
      </c>
      <c r="H156" t="s">
        <v>156</v>
      </c>
      <c r="I156">
        <f>ROUND(102/1000,7)</f>
        <v>0.10199999999999999</v>
      </c>
      <c r="J156">
        <v>0</v>
      </c>
      <c r="K156">
        <f>ROUND(102/1000,7)</f>
        <v>0.10199999999999999</v>
      </c>
      <c r="O156">
        <f t="shared" si="93"/>
        <v>7170.27</v>
      </c>
      <c r="P156">
        <f t="shared" si="94"/>
        <v>7170.27</v>
      </c>
      <c r="Q156">
        <f t="shared" si="95"/>
        <v>0</v>
      </c>
      <c r="R156">
        <f t="shared" si="96"/>
        <v>0</v>
      </c>
      <c r="S156">
        <f t="shared" si="97"/>
        <v>0</v>
      </c>
      <c r="T156">
        <f t="shared" si="98"/>
        <v>0</v>
      </c>
      <c r="U156">
        <f t="shared" si="99"/>
        <v>0</v>
      </c>
      <c r="V156">
        <f t="shared" si="100"/>
        <v>0</v>
      </c>
      <c r="W156">
        <f t="shared" si="101"/>
        <v>0</v>
      </c>
      <c r="X156">
        <f t="shared" si="102"/>
        <v>0</v>
      </c>
      <c r="Y156">
        <f t="shared" si="103"/>
        <v>0</v>
      </c>
      <c r="AA156">
        <v>65178645</v>
      </c>
      <c r="AB156">
        <f t="shared" si="104"/>
        <v>70296.72</v>
      </c>
      <c r="AC156">
        <f t="shared" si="105"/>
        <v>70296.72</v>
      </c>
      <c r="AD156">
        <f t="shared" si="106"/>
        <v>0</v>
      </c>
      <c r="AE156">
        <f t="shared" si="107"/>
        <v>0</v>
      </c>
      <c r="AF156">
        <f t="shared" si="108"/>
        <v>0</v>
      </c>
      <c r="AG156">
        <f t="shared" si="109"/>
        <v>0</v>
      </c>
      <c r="AH156">
        <f t="shared" si="110"/>
        <v>0</v>
      </c>
      <c r="AI156">
        <f t="shared" si="111"/>
        <v>0</v>
      </c>
      <c r="AJ156">
        <f t="shared" si="112"/>
        <v>0</v>
      </c>
      <c r="AK156">
        <v>70296.72</v>
      </c>
      <c r="AL156">
        <v>70296.72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3</v>
      </c>
      <c r="BI156">
        <v>2</v>
      </c>
      <c r="BJ156" t="s">
        <v>195</v>
      </c>
      <c r="BM156">
        <v>500002</v>
      </c>
      <c r="BN156">
        <v>0</v>
      </c>
      <c r="BO156" t="s">
        <v>3</v>
      </c>
      <c r="BP156">
        <v>0</v>
      </c>
      <c r="BQ156">
        <v>12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0</v>
      </c>
      <c r="CA156">
        <v>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113"/>
        <v>7170.27</v>
      </c>
      <c r="CQ156">
        <f t="shared" si="114"/>
        <v>70296.72</v>
      </c>
      <c r="CR156">
        <f t="shared" si="115"/>
        <v>0</v>
      </c>
      <c r="CS156">
        <f t="shared" si="116"/>
        <v>0</v>
      </c>
      <c r="CT156">
        <f t="shared" si="117"/>
        <v>0</v>
      </c>
      <c r="CU156">
        <f t="shared" si="118"/>
        <v>0</v>
      </c>
      <c r="CV156">
        <f t="shared" si="119"/>
        <v>0</v>
      </c>
      <c r="CW156">
        <f t="shared" si="120"/>
        <v>0</v>
      </c>
      <c r="CX156">
        <f t="shared" si="121"/>
        <v>0</v>
      </c>
      <c r="CY156">
        <f>0</f>
        <v>0</v>
      </c>
      <c r="CZ156">
        <f>0</f>
        <v>0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1013</v>
      </c>
      <c r="DV156" t="s">
        <v>156</v>
      </c>
      <c r="DW156" t="s">
        <v>158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64850936</v>
      </c>
      <c r="EF156">
        <v>12</v>
      </c>
      <c r="EG156" t="s">
        <v>189</v>
      </c>
      <c r="EH156">
        <v>0</v>
      </c>
      <c r="EI156" t="s">
        <v>3</v>
      </c>
      <c r="EJ156">
        <v>2</v>
      </c>
      <c r="EK156">
        <v>500002</v>
      </c>
      <c r="EL156" t="s">
        <v>190</v>
      </c>
      <c r="EM156" t="s">
        <v>191</v>
      </c>
      <c r="EO156" t="s">
        <v>3</v>
      </c>
      <c r="EQ156">
        <v>0</v>
      </c>
      <c r="ER156">
        <v>70296.72</v>
      </c>
      <c r="ES156">
        <v>70296.72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7170.27</v>
      </c>
      <c r="FR156">
        <f t="shared" si="122"/>
        <v>0</v>
      </c>
      <c r="FS156">
        <v>0</v>
      </c>
      <c r="FX156">
        <v>0</v>
      </c>
      <c r="FY156">
        <v>0</v>
      </c>
      <c r="GA156" t="s">
        <v>3</v>
      </c>
      <c r="GD156">
        <v>1</v>
      </c>
      <c r="GE156">
        <v>60345.15</v>
      </c>
      <c r="GF156">
        <v>-648267740</v>
      </c>
      <c r="GG156">
        <v>2</v>
      </c>
      <c r="GH156">
        <v>1</v>
      </c>
      <c r="GI156">
        <v>-2</v>
      </c>
      <c r="GJ156">
        <v>0</v>
      </c>
      <c r="GK156">
        <v>0</v>
      </c>
      <c r="GL156">
        <f t="shared" si="123"/>
        <v>0</v>
      </c>
      <c r="GM156">
        <f t="shared" si="124"/>
        <v>7170.27</v>
      </c>
      <c r="GN156">
        <f t="shared" si="125"/>
        <v>0</v>
      </c>
      <c r="GO156">
        <f t="shared" si="126"/>
        <v>7170.27</v>
      </c>
      <c r="GP156">
        <f t="shared" si="127"/>
        <v>0</v>
      </c>
      <c r="GR156">
        <v>3</v>
      </c>
      <c r="GS156">
        <v>3</v>
      </c>
      <c r="GT156">
        <v>0</v>
      </c>
      <c r="GU156" t="s">
        <v>3</v>
      </c>
      <c r="GV156">
        <f t="shared" si="128"/>
        <v>0</v>
      </c>
      <c r="GW156">
        <v>1</v>
      </c>
      <c r="GX156">
        <f t="shared" si="129"/>
        <v>0</v>
      </c>
      <c r="HA156">
        <v>0</v>
      </c>
      <c r="HB156">
        <v>0</v>
      </c>
      <c r="HC156">
        <f t="shared" si="130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7" spans="1:245" x14ac:dyDescent="0.2">
      <c r="A157">
        <v>17</v>
      </c>
      <c r="B157">
        <v>1</v>
      </c>
      <c r="E157" t="s">
        <v>196</v>
      </c>
      <c r="F157" t="s">
        <v>197</v>
      </c>
      <c r="G157" t="s">
        <v>198</v>
      </c>
      <c r="H157" t="s">
        <v>162</v>
      </c>
      <c r="I157">
        <f>ROUND(24/100,7)</f>
        <v>0.24</v>
      </c>
      <c r="J157">
        <v>0</v>
      </c>
      <c r="K157">
        <f>ROUND(24/100,7)</f>
        <v>0.24</v>
      </c>
      <c r="O157">
        <f t="shared" si="93"/>
        <v>18332.759999999998</v>
      </c>
      <c r="P157">
        <f t="shared" si="94"/>
        <v>18332.759999999998</v>
      </c>
      <c r="Q157">
        <f t="shared" si="95"/>
        <v>0</v>
      </c>
      <c r="R157">
        <f t="shared" si="96"/>
        <v>0</v>
      </c>
      <c r="S157">
        <f t="shared" si="97"/>
        <v>0</v>
      </c>
      <c r="T157">
        <f t="shared" si="98"/>
        <v>0</v>
      </c>
      <c r="U157">
        <f t="shared" si="99"/>
        <v>0</v>
      </c>
      <c r="V157">
        <f t="shared" si="100"/>
        <v>0</v>
      </c>
      <c r="W157">
        <f t="shared" si="101"/>
        <v>0</v>
      </c>
      <c r="X157">
        <f t="shared" si="102"/>
        <v>0</v>
      </c>
      <c r="Y157">
        <f t="shared" si="103"/>
        <v>0</v>
      </c>
      <c r="AA157">
        <v>65178645</v>
      </c>
      <c r="AB157">
        <f t="shared" si="104"/>
        <v>71389.23</v>
      </c>
      <c r="AC157">
        <f t="shared" si="105"/>
        <v>71389.23</v>
      </c>
      <c r="AD157">
        <f t="shared" si="106"/>
        <v>0</v>
      </c>
      <c r="AE157">
        <f t="shared" si="107"/>
        <v>0</v>
      </c>
      <c r="AF157">
        <f t="shared" si="108"/>
        <v>0</v>
      </c>
      <c r="AG157">
        <f t="shared" si="109"/>
        <v>0</v>
      </c>
      <c r="AH157">
        <f t="shared" si="110"/>
        <v>0</v>
      </c>
      <c r="AI157">
        <f t="shared" si="111"/>
        <v>0</v>
      </c>
      <c r="AJ157">
        <f t="shared" si="112"/>
        <v>0</v>
      </c>
      <c r="AK157">
        <v>71389.23</v>
      </c>
      <c r="AL157">
        <v>71389.23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1.07</v>
      </c>
      <c r="BD157" t="s">
        <v>3</v>
      </c>
      <c r="BE157" t="s">
        <v>3</v>
      </c>
      <c r="BF157" t="s">
        <v>3</v>
      </c>
      <c r="BG157" t="s">
        <v>3</v>
      </c>
      <c r="BH157">
        <v>3</v>
      </c>
      <c r="BI157">
        <v>2</v>
      </c>
      <c r="BJ157" t="s">
        <v>199</v>
      </c>
      <c r="BM157">
        <v>500002</v>
      </c>
      <c r="BN157">
        <v>0</v>
      </c>
      <c r="BO157" t="s">
        <v>197</v>
      </c>
      <c r="BP157">
        <v>1</v>
      </c>
      <c r="BQ157">
        <v>12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0</v>
      </c>
      <c r="CA157">
        <v>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113"/>
        <v>18332.759999999998</v>
      </c>
      <c r="CQ157">
        <f t="shared" si="114"/>
        <v>76386.48</v>
      </c>
      <c r="CR157">
        <f t="shared" si="115"/>
        <v>0</v>
      </c>
      <c r="CS157">
        <f t="shared" si="116"/>
        <v>0</v>
      </c>
      <c r="CT157">
        <f t="shared" si="117"/>
        <v>0</v>
      </c>
      <c r="CU157">
        <f t="shared" si="118"/>
        <v>0</v>
      </c>
      <c r="CV157">
        <f t="shared" si="119"/>
        <v>0</v>
      </c>
      <c r="CW157">
        <f t="shared" si="120"/>
        <v>0</v>
      </c>
      <c r="CX157">
        <f t="shared" si="121"/>
        <v>0</v>
      </c>
      <c r="CY157">
        <f>0</f>
        <v>0</v>
      </c>
      <c r="CZ157">
        <f>0</f>
        <v>0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1013</v>
      </c>
      <c r="DV157" t="s">
        <v>162</v>
      </c>
      <c r="DW157" t="s">
        <v>162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64850936</v>
      </c>
      <c r="EF157">
        <v>12</v>
      </c>
      <c r="EG157" t="s">
        <v>189</v>
      </c>
      <c r="EH157">
        <v>0</v>
      </c>
      <c r="EI157" t="s">
        <v>3</v>
      </c>
      <c r="EJ157">
        <v>2</v>
      </c>
      <c r="EK157">
        <v>500002</v>
      </c>
      <c r="EL157" t="s">
        <v>190</v>
      </c>
      <c r="EM157" t="s">
        <v>191</v>
      </c>
      <c r="EO157" t="s">
        <v>3</v>
      </c>
      <c r="EQ157">
        <v>0</v>
      </c>
      <c r="ER157">
        <v>71389.23</v>
      </c>
      <c r="ES157">
        <v>71389.23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FQ157">
        <v>0</v>
      </c>
      <c r="FR157">
        <f t="shared" si="122"/>
        <v>0</v>
      </c>
      <c r="FS157">
        <v>0</v>
      </c>
      <c r="FX157">
        <v>0</v>
      </c>
      <c r="FY157">
        <v>0</v>
      </c>
      <c r="GA157" t="s">
        <v>3</v>
      </c>
      <c r="GD157">
        <v>1</v>
      </c>
      <c r="GF157">
        <v>1005071104</v>
      </c>
      <c r="GG157">
        <v>2</v>
      </c>
      <c r="GH157">
        <v>1</v>
      </c>
      <c r="GI157">
        <v>2</v>
      </c>
      <c r="GJ157">
        <v>0</v>
      </c>
      <c r="GK157">
        <v>0</v>
      </c>
      <c r="GL157">
        <f t="shared" si="123"/>
        <v>0</v>
      </c>
      <c r="GM157">
        <f t="shared" si="124"/>
        <v>18332.759999999998</v>
      </c>
      <c r="GN157">
        <f t="shared" si="125"/>
        <v>0</v>
      </c>
      <c r="GO157">
        <f t="shared" si="126"/>
        <v>18332.759999999998</v>
      </c>
      <c r="GP157">
        <f t="shared" si="127"/>
        <v>0</v>
      </c>
      <c r="GR157">
        <v>0</v>
      </c>
      <c r="GS157">
        <v>3</v>
      </c>
      <c r="GT157">
        <v>0</v>
      </c>
      <c r="GU157" t="s">
        <v>3</v>
      </c>
      <c r="GV157">
        <f t="shared" si="128"/>
        <v>0</v>
      </c>
      <c r="GW157">
        <v>1</v>
      </c>
      <c r="GX157">
        <f t="shared" si="129"/>
        <v>0</v>
      </c>
      <c r="HA157">
        <v>0</v>
      </c>
      <c r="HB157">
        <v>0</v>
      </c>
      <c r="HC157">
        <f t="shared" si="130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8" spans="1:245" x14ac:dyDescent="0.2">
      <c r="A158">
        <v>17</v>
      </c>
      <c r="B158">
        <v>1</v>
      </c>
      <c r="E158" t="s">
        <v>200</v>
      </c>
      <c r="F158" t="s">
        <v>201</v>
      </c>
      <c r="G158" t="s">
        <v>202</v>
      </c>
      <c r="H158" t="s">
        <v>162</v>
      </c>
      <c r="I158">
        <f>ROUND(20/100,7)</f>
        <v>0.2</v>
      </c>
      <c r="J158">
        <v>0</v>
      </c>
      <c r="K158">
        <f>ROUND(20/100,7)</f>
        <v>0.2</v>
      </c>
      <c r="O158">
        <f t="shared" si="93"/>
        <v>1660.8</v>
      </c>
      <c r="P158">
        <f t="shared" si="94"/>
        <v>1660.8</v>
      </c>
      <c r="Q158">
        <f t="shared" si="95"/>
        <v>0</v>
      </c>
      <c r="R158">
        <f t="shared" si="96"/>
        <v>0</v>
      </c>
      <c r="S158">
        <f t="shared" si="97"/>
        <v>0</v>
      </c>
      <c r="T158">
        <f t="shared" si="98"/>
        <v>0</v>
      </c>
      <c r="U158">
        <f t="shared" si="99"/>
        <v>0</v>
      </c>
      <c r="V158">
        <f t="shared" si="100"/>
        <v>0</v>
      </c>
      <c r="W158">
        <f t="shared" si="101"/>
        <v>0</v>
      </c>
      <c r="X158">
        <f t="shared" si="102"/>
        <v>0</v>
      </c>
      <c r="Y158">
        <f t="shared" si="103"/>
        <v>0</v>
      </c>
      <c r="AA158">
        <v>65178645</v>
      </c>
      <c r="AB158">
        <f t="shared" si="104"/>
        <v>7760.73</v>
      </c>
      <c r="AC158">
        <f t="shared" si="105"/>
        <v>7760.73</v>
      </c>
      <c r="AD158">
        <f t="shared" si="106"/>
        <v>0</v>
      </c>
      <c r="AE158">
        <f t="shared" si="107"/>
        <v>0</v>
      </c>
      <c r="AF158">
        <f t="shared" si="108"/>
        <v>0</v>
      </c>
      <c r="AG158">
        <f t="shared" si="109"/>
        <v>0</v>
      </c>
      <c r="AH158">
        <f t="shared" si="110"/>
        <v>0</v>
      </c>
      <c r="AI158">
        <f t="shared" si="111"/>
        <v>0</v>
      </c>
      <c r="AJ158">
        <f t="shared" si="112"/>
        <v>0</v>
      </c>
      <c r="AK158">
        <v>7760.73</v>
      </c>
      <c r="AL158">
        <v>7760.73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1.07</v>
      </c>
      <c r="BD158" t="s">
        <v>3</v>
      </c>
      <c r="BE158" t="s">
        <v>3</v>
      </c>
      <c r="BF158" t="s">
        <v>3</v>
      </c>
      <c r="BG158" t="s">
        <v>3</v>
      </c>
      <c r="BH158">
        <v>3</v>
      </c>
      <c r="BI158">
        <v>2</v>
      </c>
      <c r="BJ158" t="s">
        <v>203</v>
      </c>
      <c r="BM158">
        <v>500002</v>
      </c>
      <c r="BN158">
        <v>0</v>
      </c>
      <c r="BO158" t="s">
        <v>201</v>
      </c>
      <c r="BP158">
        <v>1</v>
      </c>
      <c r="BQ158">
        <v>12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0</v>
      </c>
      <c r="CA158">
        <v>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si="113"/>
        <v>1660.8</v>
      </c>
      <c r="CQ158">
        <f t="shared" si="114"/>
        <v>8303.98</v>
      </c>
      <c r="CR158">
        <f t="shared" si="115"/>
        <v>0</v>
      </c>
      <c r="CS158">
        <f t="shared" si="116"/>
        <v>0</v>
      </c>
      <c r="CT158">
        <f t="shared" si="117"/>
        <v>0</v>
      </c>
      <c r="CU158">
        <f t="shared" si="118"/>
        <v>0</v>
      </c>
      <c r="CV158">
        <f t="shared" si="119"/>
        <v>0</v>
      </c>
      <c r="CW158">
        <f t="shared" si="120"/>
        <v>0</v>
      </c>
      <c r="CX158">
        <f t="shared" si="121"/>
        <v>0</v>
      </c>
      <c r="CY158">
        <f>0</f>
        <v>0</v>
      </c>
      <c r="CZ158">
        <f>0</f>
        <v>0</v>
      </c>
      <c r="DC158" t="s">
        <v>3</v>
      </c>
      <c r="DD158" t="s">
        <v>3</v>
      </c>
      <c r="DE158" t="s">
        <v>3</v>
      </c>
      <c r="DF158" t="s">
        <v>3</v>
      </c>
      <c r="DG158" t="s">
        <v>3</v>
      </c>
      <c r="DH158" t="s">
        <v>3</v>
      </c>
      <c r="DI158" t="s">
        <v>3</v>
      </c>
      <c r="DJ158" t="s">
        <v>3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1013</v>
      </c>
      <c r="DV158" t="s">
        <v>162</v>
      </c>
      <c r="DW158" t="s">
        <v>162</v>
      </c>
      <c r="DX158">
        <v>1</v>
      </c>
      <c r="DZ158" t="s">
        <v>3</v>
      </c>
      <c r="EA158" t="s">
        <v>3</v>
      </c>
      <c r="EB158" t="s">
        <v>3</v>
      </c>
      <c r="EC158" t="s">
        <v>3</v>
      </c>
      <c r="EE158">
        <v>64850936</v>
      </c>
      <c r="EF158">
        <v>12</v>
      </c>
      <c r="EG158" t="s">
        <v>189</v>
      </c>
      <c r="EH158">
        <v>0</v>
      </c>
      <c r="EI158" t="s">
        <v>3</v>
      </c>
      <c r="EJ158">
        <v>2</v>
      </c>
      <c r="EK158">
        <v>500002</v>
      </c>
      <c r="EL158" t="s">
        <v>190</v>
      </c>
      <c r="EM158" t="s">
        <v>191</v>
      </c>
      <c r="EO158" t="s">
        <v>3</v>
      </c>
      <c r="EQ158">
        <v>0</v>
      </c>
      <c r="ER158">
        <v>7760.73</v>
      </c>
      <c r="ES158">
        <v>7760.73</v>
      </c>
      <c r="ET158">
        <v>0</v>
      </c>
      <c r="EU158">
        <v>0</v>
      </c>
      <c r="EV158">
        <v>0</v>
      </c>
      <c r="EW158">
        <v>0</v>
      </c>
      <c r="EX158">
        <v>0</v>
      </c>
      <c r="EY158">
        <v>0</v>
      </c>
      <c r="FQ158">
        <v>0</v>
      </c>
      <c r="FR158">
        <f t="shared" si="122"/>
        <v>0</v>
      </c>
      <c r="FS158">
        <v>0</v>
      </c>
      <c r="FX158">
        <v>0</v>
      </c>
      <c r="FY158">
        <v>0</v>
      </c>
      <c r="GA158" t="s">
        <v>3</v>
      </c>
      <c r="GD158">
        <v>1</v>
      </c>
      <c r="GF158">
        <v>1825232694</v>
      </c>
      <c r="GG158">
        <v>2</v>
      </c>
      <c r="GH158">
        <v>1</v>
      </c>
      <c r="GI158">
        <v>2</v>
      </c>
      <c r="GJ158">
        <v>0</v>
      </c>
      <c r="GK158">
        <v>0</v>
      </c>
      <c r="GL158">
        <f t="shared" si="123"/>
        <v>0</v>
      </c>
      <c r="GM158">
        <f t="shared" si="124"/>
        <v>1660.8</v>
      </c>
      <c r="GN158">
        <f t="shared" si="125"/>
        <v>0</v>
      </c>
      <c r="GO158">
        <f t="shared" si="126"/>
        <v>1660.8</v>
      </c>
      <c r="GP158">
        <f t="shared" si="127"/>
        <v>0</v>
      </c>
      <c r="GR158">
        <v>0</v>
      </c>
      <c r="GS158">
        <v>3</v>
      </c>
      <c r="GT158">
        <v>0</v>
      </c>
      <c r="GU158" t="s">
        <v>3</v>
      </c>
      <c r="GV158">
        <f t="shared" si="128"/>
        <v>0</v>
      </c>
      <c r="GW158">
        <v>1</v>
      </c>
      <c r="GX158">
        <f t="shared" si="129"/>
        <v>0</v>
      </c>
      <c r="HA158">
        <v>0</v>
      </c>
      <c r="HB158">
        <v>0</v>
      </c>
      <c r="HC158">
        <f t="shared" si="130"/>
        <v>0</v>
      </c>
      <c r="HE158" t="s">
        <v>3</v>
      </c>
      <c r="HF158" t="s">
        <v>3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IK158">
        <v>0</v>
      </c>
    </row>
    <row r="159" spans="1:245" x14ac:dyDescent="0.2">
      <c r="A159">
        <v>17</v>
      </c>
      <c r="B159">
        <v>1</v>
      </c>
      <c r="E159" t="s">
        <v>204</v>
      </c>
      <c r="F159" t="s">
        <v>205</v>
      </c>
      <c r="G159" t="s">
        <v>206</v>
      </c>
      <c r="H159" t="s">
        <v>77</v>
      </c>
      <c r="I159">
        <v>24</v>
      </c>
      <c r="J159">
        <v>0</v>
      </c>
      <c r="K159">
        <v>24</v>
      </c>
      <c r="O159">
        <f t="shared" si="93"/>
        <v>6606.72</v>
      </c>
      <c r="P159">
        <f t="shared" si="94"/>
        <v>6606.72</v>
      </c>
      <c r="Q159">
        <f t="shared" si="95"/>
        <v>0</v>
      </c>
      <c r="R159">
        <f t="shared" si="96"/>
        <v>0</v>
      </c>
      <c r="S159">
        <f t="shared" si="97"/>
        <v>0</v>
      </c>
      <c r="T159">
        <f t="shared" si="98"/>
        <v>0</v>
      </c>
      <c r="U159">
        <f t="shared" si="99"/>
        <v>0</v>
      </c>
      <c r="V159">
        <f t="shared" si="100"/>
        <v>0</v>
      </c>
      <c r="W159">
        <f t="shared" si="101"/>
        <v>0</v>
      </c>
      <c r="X159">
        <f t="shared" si="102"/>
        <v>0</v>
      </c>
      <c r="Y159">
        <f t="shared" si="103"/>
        <v>0</v>
      </c>
      <c r="AA159">
        <v>65178645</v>
      </c>
      <c r="AB159">
        <f t="shared" si="104"/>
        <v>243.61</v>
      </c>
      <c r="AC159">
        <f t="shared" si="105"/>
        <v>243.61</v>
      </c>
      <c r="AD159">
        <f t="shared" si="106"/>
        <v>0</v>
      </c>
      <c r="AE159">
        <f t="shared" si="107"/>
        <v>0</v>
      </c>
      <c r="AF159">
        <f t="shared" si="108"/>
        <v>0</v>
      </c>
      <c r="AG159">
        <f t="shared" si="109"/>
        <v>0</v>
      </c>
      <c r="AH159">
        <f t="shared" si="110"/>
        <v>0</v>
      </c>
      <c r="AI159">
        <f t="shared" si="111"/>
        <v>0</v>
      </c>
      <c r="AJ159">
        <f t="shared" si="112"/>
        <v>0</v>
      </c>
      <c r="AK159">
        <v>243.61</v>
      </c>
      <c r="AL159">
        <v>243.61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1.1299999999999999</v>
      </c>
      <c r="BD159" t="s">
        <v>3</v>
      </c>
      <c r="BE159" t="s">
        <v>3</v>
      </c>
      <c r="BF159" t="s">
        <v>3</v>
      </c>
      <c r="BG159" t="s">
        <v>3</v>
      </c>
      <c r="BH159">
        <v>3</v>
      </c>
      <c r="BI159">
        <v>2</v>
      </c>
      <c r="BJ159" t="s">
        <v>207</v>
      </c>
      <c r="BM159">
        <v>500002</v>
      </c>
      <c r="BN159">
        <v>0</v>
      </c>
      <c r="BO159" t="s">
        <v>205</v>
      </c>
      <c r="BP159">
        <v>1</v>
      </c>
      <c r="BQ159">
        <v>12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0</v>
      </c>
      <c r="CA159">
        <v>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 t="shared" si="113"/>
        <v>6606.72</v>
      </c>
      <c r="CQ159">
        <f t="shared" si="114"/>
        <v>275.27999999999997</v>
      </c>
      <c r="CR159">
        <f t="shared" si="115"/>
        <v>0</v>
      </c>
      <c r="CS159">
        <f t="shared" si="116"/>
        <v>0</v>
      </c>
      <c r="CT159">
        <f t="shared" si="117"/>
        <v>0</v>
      </c>
      <c r="CU159">
        <f t="shared" si="118"/>
        <v>0</v>
      </c>
      <c r="CV159">
        <f t="shared" si="119"/>
        <v>0</v>
      </c>
      <c r="CW159">
        <f t="shared" si="120"/>
        <v>0</v>
      </c>
      <c r="CX159">
        <f t="shared" si="121"/>
        <v>0</v>
      </c>
      <c r="CY159">
        <f>0</f>
        <v>0</v>
      </c>
      <c r="CZ159">
        <f>0</f>
        <v>0</v>
      </c>
      <c r="DC159" t="s">
        <v>3</v>
      </c>
      <c r="DD159" t="s">
        <v>3</v>
      </c>
      <c r="DE159" t="s">
        <v>3</v>
      </c>
      <c r="DF159" t="s">
        <v>3</v>
      </c>
      <c r="DG159" t="s">
        <v>3</v>
      </c>
      <c r="DH159" t="s">
        <v>3</v>
      </c>
      <c r="DI159" t="s">
        <v>3</v>
      </c>
      <c r="DJ159" t="s">
        <v>3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1013</v>
      </c>
      <c r="DV159" t="s">
        <v>77</v>
      </c>
      <c r="DW159" t="s">
        <v>77</v>
      </c>
      <c r="DX159">
        <v>1</v>
      </c>
      <c r="DZ159" t="s">
        <v>3</v>
      </c>
      <c r="EA159" t="s">
        <v>3</v>
      </c>
      <c r="EB159" t="s">
        <v>3</v>
      </c>
      <c r="EC159" t="s">
        <v>3</v>
      </c>
      <c r="EE159">
        <v>64850936</v>
      </c>
      <c r="EF159">
        <v>12</v>
      </c>
      <c r="EG159" t="s">
        <v>189</v>
      </c>
      <c r="EH159">
        <v>0</v>
      </c>
      <c r="EI159" t="s">
        <v>3</v>
      </c>
      <c r="EJ159">
        <v>2</v>
      </c>
      <c r="EK159">
        <v>500002</v>
      </c>
      <c r="EL159" t="s">
        <v>190</v>
      </c>
      <c r="EM159" t="s">
        <v>191</v>
      </c>
      <c r="EO159" t="s">
        <v>3</v>
      </c>
      <c r="EQ159">
        <v>0</v>
      </c>
      <c r="ER159">
        <v>243.61</v>
      </c>
      <c r="ES159">
        <v>243.61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FQ159">
        <v>0</v>
      </c>
      <c r="FR159">
        <f t="shared" si="122"/>
        <v>0</v>
      </c>
      <c r="FS159">
        <v>0</v>
      </c>
      <c r="FX159">
        <v>0</v>
      </c>
      <c r="FY159">
        <v>0</v>
      </c>
      <c r="GA159" t="s">
        <v>3</v>
      </c>
      <c r="GD159">
        <v>1</v>
      </c>
      <c r="GF159">
        <v>-1458258367</v>
      </c>
      <c r="GG159">
        <v>2</v>
      </c>
      <c r="GH159">
        <v>1</v>
      </c>
      <c r="GI159">
        <v>2</v>
      </c>
      <c r="GJ159">
        <v>0</v>
      </c>
      <c r="GK159">
        <v>0</v>
      </c>
      <c r="GL159">
        <f t="shared" si="123"/>
        <v>0</v>
      </c>
      <c r="GM159">
        <f t="shared" si="124"/>
        <v>6606.72</v>
      </c>
      <c r="GN159">
        <f t="shared" si="125"/>
        <v>0</v>
      </c>
      <c r="GO159">
        <f t="shared" si="126"/>
        <v>6606.72</v>
      </c>
      <c r="GP159">
        <f t="shared" si="127"/>
        <v>0</v>
      </c>
      <c r="GR159">
        <v>0</v>
      </c>
      <c r="GS159">
        <v>3</v>
      </c>
      <c r="GT159">
        <v>0</v>
      </c>
      <c r="GU159" t="s">
        <v>3</v>
      </c>
      <c r="GV159">
        <f t="shared" si="128"/>
        <v>0</v>
      </c>
      <c r="GW159">
        <v>1</v>
      </c>
      <c r="GX159">
        <f t="shared" si="129"/>
        <v>0</v>
      </c>
      <c r="HA159">
        <v>0</v>
      </c>
      <c r="HB159">
        <v>0</v>
      </c>
      <c r="HC159">
        <f t="shared" si="130"/>
        <v>0</v>
      </c>
      <c r="HE159" t="s">
        <v>3</v>
      </c>
      <c r="HF159" t="s">
        <v>3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IK159">
        <v>0</v>
      </c>
    </row>
    <row r="160" spans="1:245" x14ac:dyDescent="0.2">
      <c r="A160">
        <v>17</v>
      </c>
      <c r="B160">
        <v>1</v>
      </c>
      <c r="E160" t="s">
        <v>208</v>
      </c>
      <c r="F160" t="s">
        <v>209</v>
      </c>
      <c r="G160" t="s">
        <v>210</v>
      </c>
      <c r="H160" t="s">
        <v>162</v>
      </c>
      <c r="I160">
        <f>ROUND(40/100,7)</f>
        <v>0.4</v>
      </c>
      <c r="J160">
        <v>0</v>
      </c>
      <c r="K160">
        <f>ROUND(40/100,7)</f>
        <v>0.4</v>
      </c>
      <c r="O160">
        <f t="shared" si="93"/>
        <v>7460.03</v>
      </c>
      <c r="P160">
        <f t="shared" si="94"/>
        <v>7460.03</v>
      </c>
      <c r="Q160">
        <f t="shared" si="95"/>
        <v>0</v>
      </c>
      <c r="R160">
        <f t="shared" si="96"/>
        <v>0</v>
      </c>
      <c r="S160">
        <f t="shared" si="97"/>
        <v>0</v>
      </c>
      <c r="T160">
        <f t="shared" si="98"/>
        <v>0</v>
      </c>
      <c r="U160">
        <f t="shared" si="99"/>
        <v>0</v>
      </c>
      <c r="V160">
        <f t="shared" si="100"/>
        <v>0</v>
      </c>
      <c r="W160">
        <f t="shared" si="101"/>
        <v>0</v>
      </c>
      <c r="X160">
        <f t="shared" si="102"/>
        <v>0</v>
      </c>
      <c r="Y160">
        <f t="shared" si="103"/>
        <v>0</v>
      </c>
      <c r="AA160">
        <v>65178645</v>
      </c>
      <c r="AB160">
        <f t="shared" si="104"/>
        <v>17429.98</v>
      </c>
      <c r="AC160">
        <f t="shared" si="105"/>
        <v>17429.98</v>
      </c>
      <c r="AD160">
        <f t="shared" si="106"/>
        <v>0</v>
      </c>
      <c r="AE160">
        <f t="shared" si="107"/>
        <v>0</v>
      </c>
      <c r="AF160">
        <f t="shared" si="108"/>
        <v>0</v>
      </c>
      <c r="AG160">
        <f t="shared" si="109"/>
        <v>0</v>
      </c>
      <c r="AH160">
        <f t="shared" si="110"/>
        <v>0</v>
      </c>
      <c r="AI160">
        <f t="shared" si="111"/>
        <v>0</v>
      </c>
      <c r="AJ160">
        <f t="shared" si="112"/>
        <v>0</v>
      </c>
      <c r="AK160">
        <v>17429.98</v>
      </c>
      <c r="AL160">
        <v>17429.98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1.07</v>
      </c>
      <c r="BD160" t="s">
        <v>3</v>
      </c>
      <c r="BE160" t="s">
        <v>3</v>
      </c>
      <c r="BF160" t="s">
        <v>3</v>
      </c>
      <c r="BG160" t="s">
        <v>3</v>
      </c>
      <c r="BH160">
        <v>3</v>
      </c>
      <c r="BI160">
        <v>2</v>
      </c>
      <c r="BJ160" t="s">
        <v>211</v>
      </c>
      <c r="BM160">
        <v>500002</v>
      </c>
      <c r="BN160">
        <v>0</v>
      </c>
      <c r="BO160" t="s">
        <v>209</v>
      </c>
      <c r="BP160">
        <v>1</v>
      </c>
      <c r="BQ160">
        <v>12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0</v>
      </c>
      <c r="CA160">
        <v>0</v>
      </c>
      <c r="CB160" t="s">
        <v>3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 t="shared" si="113"/>
        <v>7460.03</v>
      </c>
      <c r="CQ160">
        <f t="shared" si="114"/>
        <v>18650.080000000002</v>
      </c>
      <c r="CR160">
        <f t="shared" si="115"/>
        <v>0</v>
      </c>
      <c r="CS160">
        <f t="shared" si="116"/>
        <v>0</v>
      </c>
      <c r="CT160">
        <f t="shared" si="117"/>
        <v>0</v>
      </c>
      <c r="CU160">
        <f t="shared" si="118"/>
        <v>0</v>
      </c>
      <c r="CV160">
        <f t="shared" si="119"/>
        <v>0</v>
      </c>
      <c r="CW160">
        <f t="shared" si="120"/>
        <v>0</v>
      </c>
      <c r="CX160">
        <f t="shared" si="121"/>
        <v>0</v>
      </c>
      <c r="CY160">
        <f>0</f>
        <v>0</v>
      </c>
      <c r="CZ160">
        <f>0</f>
        <v>0</v>
      </c>
      <c r="DC160" t="s">
        <v>3</v>
      </c>
      <c r="DD160" t="s">
        <v>3</v>
      </c>
      <c r="DE160" t="s">
        <v>3</v>
      </c>
      <c r="DF160" t="s">
        <v>3</v>
      </c>
      <c r="DG160" t="s">
        <v>3</v>
      </c>
      <c r="DH160" t="s">
        <v>3</v>
      </c>
      <c r="DI160" t="s">
        <v>3</v>
      </c>
      <c r="DJ160" t="s">
        <v>3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1013</v>
      </c>
      <c r="DV160" t="s">
        <v>162</v>
      </c>
      <c r="DW160" t="s">
        <v>162</v>
      </c>
      <c r="DX160">
        <v>1</v>
      </c>
      <c r="DZ160" t="s">
        <v>3</v>
      </c>
      <c r="EA160" t="s">
        <v>3</v>
      </c>
      <c r="EB160" t="s">
        <v>3</v>
      </c>
      <c r="EC160" t="s">
        <v>3</v>
      </c>
      <c r="EE160">
        <v>64850936</v>
      </c>
      <c r="EF160">
        <v>12</v>
      </c>
      <c r="EG160" t="s">
        <v>189</v>
      </c>
      <c r="EH160">
        <v>0</v>
      </c>
      <c r="EI160" t="s">
        <v>3</v>
      </c>
      <c r="EJ160">
        <v>2</v>
      </c>
      <c r="EK160">
        <v>500002</v>
      </c>
      <c r="EL160" t="s">
        <v>190</v>
      </c>
      <c r="EM160" t="s">
        <v>191</v>
      </c>
      <c r="EO160" t="s">
        <v>3</v>
      </c>
      <c r="EQ160">
        <v>0</v>
      </c>
      <c r="ER160">
        <v>17429.98</v>
      </c>
      <c r="ES160">
        <v>17429.98</v>
      </c>
      <c r="ET160">
        <v>0</v>
      </c>
      <c r="EU160">
        <v>0</v>
      </c>
      <c r="EV160">
        <v>0</v>
      </c>
      <c r="EW160">
        <v>0</v>
      </c>
      <c r="EX160">
        <v>0</v>
      </c>
      <c r="EY160">
        <v>0</v>
      </c>
      <c r="FQ160">
        <v>0</v>
      </c>
      <c r="FR160">
        <f t="shared" si="122"/>
        <v>0</v>
      </c>
      <c r="FS160">
        <v>0</v>
      </c>
      <c r="FX160">
        <v>0</v>
      </c>
      <c r="FY160">
        <v>0</v>
      </c>
      <c r="GA160" t="s">
        <v>3</v>
      </c>
      <c r="GD160">
        <v>1</v>
      </c>
      <c r="GF160">
        <v>-1962546118</v>
      </c>
      <c r="GG160">
        <v>2</v>
      </c>
      <c r="GH160">
        <v>1</v>
      </c>
      <c r="GI160">
        <v>2</v>
      </c>
      <c r="GJ160">
        <v>0</v>
      </c>
      <c r="GK160">
        <v>0</v>
      </c>
      <c r="GL160">
        <f t="shared" si="123"/>
        <v>0</v>
      </c>
      <c r="GM160">
        <f t="shared" si="124"/>
        <v>7460.03</v>
      </c>
      <c r="GN160">
        <f t="shared" si="125"/>
        <v>0</v>
      </c>
      <c r="GO160">
        <f t="shared" si="126"/>
        <v>7460.03</v>
      </c>
      <c r="GP160">
        <f t="shared" si="127"/>
        <v>0</v>
      </c>
      <c r="GR160">
        <v>0</v>
      </c>
      <c r="GS160">
        <v>3</v>
      </c>
      <c r="GT160">
        <v>0</v>
      </c>
      <c r="GU160" t="s">
        <v>3</v>
      </c>
      <c r="GV160">
        <f t="shared" si="128"/>
        <v>0</v>
      </c>
      <c r="GW160">
        <v>1</v>
      </c>
      <c r="GX160">
        <f t="shared" si="129"/>
        <v>0</v>
      </c>
      <c r="HA160">
        <v>0</v>
      </c>
      <c r="HB160">
        <v>0</v>
      </c>
      <c r="HC160">
        <f t="shared" si="130"/>
        <v>0</v>
      </c>
      <c r="HE160" t="s">
        <v>3</v>
      </c>
      <c r="HF160" t="s">
        <v>3</v>
      </c>
      <c r="HM160" t="s">
        <v>3</v>
      </c>
      <c r="HN160" t="s">
        <v>3</v>
      </c>
      <c r="HO160" t="s">
        <v>3</v>
      </c>
      <c r="HP160" t="s">
        <v>3</v>
      </c>
      <c r="HQ160" t="s">
        <v>3</v>
      </c>
      <c r="IK160">
        <v>0</v>
      </c>
    </row>
    <row r="161" spans="1:245" x14ac:dyDescent="0.2">
      <c r="A161">
        <v>17</v>
      </c>
      <c r="B161">
        <v>1</v>
      </c>
      <c r="E161" t="s">
        <v>212</v>
      </c>
      <c r="F161" t="s">
        <v>213</v>
      </c>
      <c r="G161" t="s">
        <v>214</v>
      </c>
      <c r="H161" t="s">
        <v>162</v>
      </c>
      <c r="I161">
        <f>ROUND(40/100,7)</f>
        <v>0.4</v>
      </c>
      <c r="J161">
        <v>0</v>
      </c>
      <c r="K161">
        <f>ROUND(40/100,7)</f>
        <v>0.4</v>
      </c>
      <c r="O161">
        <f t="shared" si="93"/>
        <v>35031.519999999997</v>
      </c>
      <c r="P161">
        <f t="shared" si="94"/>
        <v>35031.519999999997</v>
      </c>
      <c r="Q161">
        <f t="shared" si="95"/>
        <v>0</v>
      </c>
      <c r="R161">
        <f t="shared" si="96"/>
        <v>0</v>
      </c>
      <c r="S161">
        <f t="shared" si="97"/>
        <v>0</v>
      </c>
      <c r="T161">
        <f t="shared" si="98"/>
        <v>0</v>
      </c>
      <c r="U161">
        <f t="shared" si="99"/>
        <v>0</v>
      </c>
      <c r="V161">
        <f t="shared" si="100"/>
        <v>0</v>
      </c>
      <c r="W161">
        <f t="shared" si="101"/>
        <v>0</v>
      </c>
      <c r="X161">
        <f t="shared" si="102"/>
        <v>0</v>
      </c>
      <c r="Y161">
        <f t="shared" si="103"/>
        <v>0</v>
      </c>
      <c r="AA161">
        <v>65178645</v>
      </c>
      <c r="AB161">
        <f t="shared" si="104"/>
        <v>81849.34</v>
      </c>
      <c r="AC161">
        <f t="shared" si="105"/>
        <v>81849.34</v>
      </c>
      <c r="AD161">
        <f t="shared" si="106"/>
        <v>0</v>
      </c>
      <c r="AE161">
        <f t="shared" si="107"/>
        <v>0</v>
      </c>
      <c r="AF161">
        <f t="shared" si="108"/>
        <v>0</v>
      </c>
      <c r="AG161">
        <f t="shared" si="109"/>
        <v>0</v>
      </c>
      <c r="AH161">
        <f t="shared" si="110"/>
        <v>0</v>
      </c>
      <c r="AI161">
        <f t="shared" si="111"/>
        <v>0</v>
      </c>
      <c r="AJ161">
        <f t="shared" si="112"/>
        <v>0</v>
      </c>
      <c r="AK161">
        <v>81849.34</v>
      </c>
      <c r="AL161">
        <v>81849.34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1.07</v>
      </c>
      <c r="BD161" t="s">
        <v>3</v>
      </c>
      <c r="BE161" t="s">
        <v>3</v>
      </c>
      <c r="BF161" t="s">
        <v>3</v>
      </c>
      <c r="BG161" t="s">
        <v>3</v>
      </c>
      <c r="BH161">
        <v>3</v>
      </c>
      <c r="BI161">
        <v>2</v>
      </c>
      <c r="BJ161" t="s">
        <v>215</v>
      </c>
      <c r="BM161">
        <v>500002</v>
      </c>
      <c r="BN161">
        <v>0</v>
      </c>
      <c r="BO161" t="s">
        <v>213</v>
      </c>
      <c r="BP161">
        <v>1</v>
      </c>
      <c r="BQ161">
        <v>12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0</v>
      </c>
      <c r="CA161">
        <v>0</v>
      </c>
      <c r="CB161" t="s">
        <v>3</v>
      </c>
      <c r="CE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 t="shared" si="113"/>
        <v>35031.519999999997</v>
      </c>
      <c r="CQ161">
        <f t="shared" si="114"/>
        <v>87578.79</v>
      </c>
      <c r="CR161">
        <f t="shared" si="115"/>
        <v>0</v>
      </c>
      <c r="CS161">
        <f t="shared" si="116"/>
        <v>0</v>
      </c>
      <c r="CT161">
        <f t="shared" si="117"/>
        <v>0</v>
      </c>
      <c r="CU161">
        <f t="shared" si="118"/>
        <v>0</v>
      </c>
      <c r="CV161">
        <f t="shared" si="119"/>
        <v>0</v>
      </c>
      <c r="CW161">
        <f t="shared" si="120"/>
        <v>0</v>
      </c>
      <c r="CX161">
        <f t="shared" si="121"/>
        <v>0</v>
      </c>
      <c r="CY161">
        <f>0</f>
        <v>0</v>
      </c>
      <c r="CZ161">
        <f>0</f>
        <v>0</v>
      </c>
      <c r="DC161" t="s">
        <v>3</v>
      </c>
      <c r="DD161" t="s">
        <v>3</v>
      </c>
      <c r="DE161" t="s">
        <v>3</v>
      </c>
      <c r="DF161" t="s">
        <v>3</v>
      </c>
      <c r="DG161" t="s">
        <v>3</v>
      </c>
      <c r="DH161" t="s">
        <v>3</v>
      </c>
      <c r="DI161" t="s">
        <v>3</v>
      </c>
      <c r="DJ161" t="s">
        <v>3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1013</v>
      </c>
      <c r="DV161" t="s">
        <v>162</v>
      </c>
      <c r="DW161" t="s">
        <v>162</v>
      </c>
      <c r="DX161">
        <v>1</v>
      </c>
      <c r="DZ161" t="s">
        <v>3</v>
      </c>
      <c r="EA161" t="s">
        <v>3</v>
      </c>
      <c r="EB161" t="s">
        <v>3</v>
      </c>
      <c r="EC161" t="s">
        <v>3</v>
      </c>
      <c r="EE161">
        <v>64850936</v>
      </c>
      <c r="EF161">
        <v>12</v>
      </c>
      <c r="EG161" t="s">
        <v>189</v>
      </c>
      <c r="EH161">
        <v>0</v>
      </c>
      <c r="EI161" t="s">
        <v>3</v>
      </c>
      <c r="EJ161">
        <v>2</v>
      </c>
      <c r="EK161">
        <v>500002</v>
      </c>
      <c r="EL161" t="s">
        <v>190</v>
      </c>
      <c r="EM161" t="s">
        <v>191</v>
      </c>
      <c r="EO161" t="s">
        <v>3</v>
      </c>
      <c r="EQ161">
        <v>0</v>
      </c>
      <c r="ER161">
        <v>81849.34</v>
      </c>
      <c r="ES161">
        <v>81849.34</v>
      </c>
      <c r="ET161">
        <v>0</v>
      </c>
      <c r="EU161">
        <v>0</v>
      </c>
      <c r="EV161">
        <v>0</v>
      </c>
      <c r="EW161">
        <v>0</v>
      </c>
      <c r="EX161">
        <v>0</v>
      </c>
      <c r="EY161">
        <v>0</v>
      </c>
      <c r="FQ161">
        <v>0</v>
      </c>
      <c r="FR161">
        <f t="shared" si="122"/>
        <v>0</v>
      </c>
      <c r="FS161">
        <v>0</v>
      </c>
      <c r="FX161">
        <v>0</v>
      </c>
      <c r="FY161">
        <v>0</v>
      </c>
      <c r="GA161" t="s">
        <v>3</v>
      </c>
      <c r="GD161">
        <v>1</v>
      </c>
      <c r="GF161">
        <v>-1028729614</v>
      </c>
      <c r="GG161">
        <v>2</v>
      </c>
      <c r="GH161">
        <v>1</v>
      </c>
      <c r="GI161">
        <v>2</v>
      </c>
      <c r="GJ161">
        <v>0</v>
      </c>
      <c r="GK161">
        <v>0</v>
      </c>
      <c r="GL161">
        <f t="shared" si="123"/>
        <v>0</v>
      </c>
      <c r="GM161">
        <f t="shared" si="124"/>
        <v>35031.519999999997</v>
      </c>
      <c r="GN161">
        <f t="shared" si="125"/>
        <v>0</v>
      </c>
      <c r="GO161">
        <f t="shared" si="126"/>
        <v>35031.519999999997</v>
      </c>
      <c r="GP161">
        <f t="shared" si="127"/>
        <v>0</v>
      </c>
      <c r="GR161">
        <v>0</v>
      </c>
      <c r="GS161">
        <v>3</v>
      </c>
      <c r="GT161">
        <v>0</v>
      </c>
      <c r="GU161" t="s">
        <v>3</v>
      </c>
      <c r="GV161">
        <f t="shared" si="128"/>
        <v>0</v>
      </c>
      <c r="GW161">
        <v>1</v>
      </c>
      <c r="GX161">
        <f t="shared" si="129"/>
        <v>0</v>
      </c>
      <c r="HA161">
        <v>0</v>
      </c>
      <c r="HB161">
        <v>0</v>
      </c>
      <c r="HC161">
        <f t="shared" si="130"/>
        <v>0</v>
      </c>
      <c r="HE161" t="s">
        <v>3</v>
      </c>
      <c r="HF161" t="s">
        <v>3</v>
      </c>
      <c r="HM161" t="s">
        <v>3</v>
      </c>
      <c r="HN161" t="s">
        <v>3</v>
      </c>
      <c r="HO161" t="s">
        <v>3</v>
      </c>
      <c r="HP161" t="s">
        <v>3</v>
      </c>
      <c r="HQ161" t="s">
        <v>3</v>
      </c>
      <c r="IK161">
        <v>0</v>
      </c>
    </row>
    <row r="162" spans="1:245" x14ac:dyDescent="0.2">
      <c r="A162">
        <v>17</v>
      </c>
      <c r="B162">
        <v>1</v>
      </c>
      <c r="E162" t="s">
        <v>216</v>
      </c>
      <c r="F162" t="s">
        <v>217</v>
      </c>
      <c r="G162" t="s">
        <v>218</v>
      </c>
      <c r="H162" t="s">
        <v>162</v>
      </c>
      <c r="I162">
        <f>ROUND(40/100,7)</f>
        <v>0.4</v>
      </c>
      <c r="J162">
        <v>0</v>
      </c>
      <c r="K162">
        <f>ROUND(40/100,7)</f>
        <v>0.4</v>
      </c>
      <c r="O162">
        <f t="shared" si="93"/>
        <v>12564.59</v>
      </c>
      <c r="P162">
        <f t="shared" si="94"/>
        <v>12564.59</v>
      </c>
      <c r="Q162">
        <f t="shared" si="95"/>
        <v>0</v>
      </c>
      <c r="R162">
        <f t="shared" si="96"/>
        <v>0</v>
      </c>
      <c r="S162">
        <f t="shared" si="97"/>
        <v>0</v>
      </c>
      <c r="T162">
        <f t="shared" si="98"/>
        <v>0</v>
      </c>
      <c r="U162">
        <f t="shared" si="99"/>
        <v>0</v>
      </c>
      <c r="V162">
        <f t="shared" si="100"/>
        <v>0</v>
      </c>
      <c r="W162">
        <f t="shared" si="101"/>
        <v>0</v>
      </c>
      <c r="X162">
        <f t="shared" si="102"/>
        <v>0</v>
      </c>
      <c r="Y162">
        <f t="shared" si="103"/>
        <v>0</v>
      </c>
      <c r="AA162">
        <v>65178645</v>
      </c>
      <c r="AB162">
        <f t="shared" si="104"/>
        <v>29356.52</v>
      </c>
      <c r="AC162">
        <f t="shared" si="105"/>
        <v>29356.52</v>
      </c>
      <c r="AD162">
        <f t="shared" si="106"/>
        <v>0</v>
      </c>
      <c r="AE162">
        <f t="shared" si="107"/>
        <v>0</v>
      </c>
      <c r="AF162">
        <f t="shared" si="108"/>
        <v>0</v>
      </c>
      <c r="AG162">
        <f t="shared" si="109"/>
        <v>0</v>
      </c>
      <c r="AH162">
        <f t="shared" si="110"/>
        <v>0</v>
      </c>
      <c r="AI162">
        <f t="shared" si="111"/>
        <v>0</v>
      </c>
      <c r="AJ162">
        <f t="shared" si="112"/>
        <v>0</v>
      </c>
      <c r="AK162">
        <v>29356.52</v>
      </c>
      <c r="AL162">
        <v>29356.52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1</v>
      </c>
      <c r="AW162">
        <v>1</v>
      </c>
      <c r="AZ162">
        <v>1</v>
      </c>
      <c r="BA162">
        <v>1</v>
      </c>
      <c r="BB162">
        <v>1</v>
      </c>
      <c r="BC162">
        <v>1.07</v>
      </c>
      <c r="BD162" t="s">
        <v>3</v>
      </c>
      <c r="BE162" t="s">
        <v>3</v>
      </c>
      <c r="BF162" t="s">
        <v>3</v>
      </c>
      <c r="BG162" t="s">
        <v>3</v>
      </c>
      <c r="BH162">
        <v>3</v>
      </c>
      <c r="BI162">
        <v>2</v>
      </c>
      <c r="BJ162" t="s">
        <v>219</v>
      </c>
      <c r="BM162">
        <v>500002</v>
      </c>
      <c r="BN162">
        <v>0</v>
      </c>
      <c r="BO162" t="s">
        <v>217</v>
      </c>
      <c r="BP162">
        <v>1</v>
      </c>
      <c r="BQ162">
        <v>12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0</v>
      </c>
      <c r="CA162">
        <v>0</v>
      </c>
      <c r="CB162" t="s">
        <v>3</v>
      </c>
      <c r="CE162">
        <v>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 t="shared" si="113"/>
        <v>12564.59</v>
      </c>
      <c r="CQ162">
        <f t="shared" si="114"/>
        <v>31411.48</v>
      </c>
      <c r="CR162">
        <f t="shared" si="115"/>
        <v>0</v>
      </c>
      <c r="CS162">
        <f t="shared" si="116"/>
        <v>0</v>
      </c>
      <c r="CT162">
        <f t="shared" si="117"/>
        <v>0</v>
      </c>
      <c r="CU162">
        <f t="shared" si="118"/>
        <v>0</v>
      </c>
      <c r="CV162">
        <f t="shared" si="119"/>
        <v>0</v>
      </c>
      <c r="CW162">
        <f t="shared" si="120"/>
        <v>0</v>
      </c>
      <c r="CX162">
        <f t="shared" si="121"/>
        <v>0</v>
      </c>
      <c r="CY162">
        <f>0</f>
        <v>0</v>
      </c>
      <c r="CZ162">
        <f>0</f>
        <v>0</v>
      </c>
      <c r="DC162" t="s">
        <v>3</v>
      </c>
      <c r="DD162" t="s">
        <v>3</v>
      </c>
      <c r="DE162" t="s">
        <v>3</v>
      </c>
      <c r="DF162" t="s">
        <v>3</v>
      </c>
      <c r="DG162" t="s">
        <v>3</v>
      </c>
      <c r="DH162" t="s">
        <v>3</v>
      </c>
      <c r="DI162" t="s">
        <v>3</v>
      </c>
      <c r="DJ162" t="s">
        <v>3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1013</v>
      </c>
      <c r="DV162" t="s">
        <v>162</v>
      </c>
      <c r="DW162" t="s">
        <v>162</v>
      </c>
      <c r="DX162">
        <v>1</v>
      </c>
      <c r="DZ162" t="s">
        <v>3</v>
      </c>
      <c r="EA162" t="s">
        <v>3</v>
      </c>
      <c r="EB162" t="s">
        <v>3</v>
      </c>
      <c r="EC162" t="s">
        <v>3</v>
      </c>
      <c r="EE162">
        <v>64850936</v>
      </c>
      <c r="EF162">
        <v>12</v>
      </c>
      <c r="EG162" t="s">
        <v>189</v>
      </c>
      <c r="EH162">
        <v>0</v>
      </c>
      <c r="EI162" t="s">
        <v>3</v>
      </c>
      <c r="EJ162">
        <v>2</v>
      </c>
      <c r="EK162">
        <v>500002</v>
      </c>
      <c r="EL162" t="s">
        <v>190</v>
      </c>
      <c r="EM162" t="s">
        <v>191</v>
      </c>
      <c r="EO162" t="s">
        <v>3</v>
      </c>
      <c r="EQ162">
        <v>0</v>
      </c>
      <c r="ER162">
        <v>29356.52</v>
      </c>
      <c r="ES162">
        <v>29356.52</v>
      </c>
      <c r="ET162">
        <v>0</v>
      </c>
      <c r="EU162">
        <v>0</v>
      </c>
      <c r="EV162">
        <v>0</v>
      </c>
      <c r="EW162">
        <v>0</v>
      </c>
      <c r="EX162">
        <v>0</v>
      </c>
      <c r="EY162">
        <v>0</v>
      </c>
      <c r="FQ162">
        <v>0</v>
      </c>
      <c r="FR162">
        <f t="shared" si="122"/>
        <v>0</v>
      </c>
      <c r="FS162">
        <v>0</v>
      </c>
      <c r="FX162">
        <v>0</v>
      </c>
      <c r="FY162">
        <v>0</v>
      </c>
      <c r="GA162" t="s">
        <v>3</v>
      </c>
      <c r="GD162">
        <v>1</v>
      </c>
      <c r="GF162">
        <v>965294615</v>
      </c>
      <c r="GG162">
        <v>2</v>
      </c>
      <c r="GH162">
        <v>1</v>
      </c>
      <c r="GI162">
        <v>2</v>
      </c>
      <c r="GJ162">
        <v>0</v>
      </c>
      <c r="GK162">
        <v>0</v>
      </c>
      <c r="GL162">
        <f t="shared" si="123"/>
        <v>0</v>
      </c>
      <c r="GM162">
        <f t="shared" si="124"/>
        <v>12564.59</v>
      </c>
      <c r="GN162">
        <f t="shared" si="125"/>
        <v>0</v>
      </c>
      <c r="GO162">
        <f t="shared" si="126"/>
        <v>12564.59</v>
      </c>
      <c r="GP162">
        <f t="shared" si="127"/>
        <v>0</v>
      </c>
      <c r="GR162">
        <v>0</v>
      </c>
      <c r="GS162">
        <v>3</v>
      </c>
      <c r="GT162">
        <v>0</v>
      </c>
      <c r="GU162" t="s">
        <v>3</v>
      </c>
      <c r="GV162">
        <f t="shared" si="128"/>
        <v>0</v>
      </c>
      <c r="GW162">
        <v>1</v>
      </c>
      <c r="GX162">
        <f t="shared" si="129"/>
        <v>0</v>
      </c>
      <c r="HA162">
        <v>0</v>
      </c>
      <c r="HB162">
        <v>0</v>
      </c>
      <c r="HC162">
        <f t="shared" si="130"/>
        <v>0</v>
      </c>
      <c r="HE162" t="s">
        <v>3</v>
      </c>
      <c r="HF162" t="s">
        <v>3</v>
      </c>
      <c r="HM162" t="s">
        <v>3</v>
      </c>
      <c r="HN162" t="s">
        <v>3</v>
      </c>
      <c r="HO162" t="s">
        <v>3</v>
      </c>
      <c r="HP162" t="s">
        <v>3</v>
      </c>
      <c r="HQ162" t="s">
        <v>3</v>
      </c>
      <c r="IK162">
        <v>0</v>
      </c>
    </row>
    <row r="163" spans="1:245" x14ac:dyDescent="0.2">
      <c r="A163">
        <v>17</v>
      </c>
      <c r="B163">
        <v>1</v>
      </c>
      <c r="E163" t="s">
        <v>220</v>
      </c>
      <c r="F163" t="s">
        <v>221</v>
      </c>
      <c r="G163" t="s">
        <v>222</v>
      </c>
      <c r="H163" t="s">
        <v>162</v>
      </c>
      <c r="I163">
        <f>ROUND(12/100,7)</f>
        <v>0.12</v>
      </c>
      <c r="J163">
        <v>0</v>
      </c>
      <c r="K163">
        <f>ROUND(12/100,7)</f>
        <v>0.12</v>
      </c>
      <c r="O163">
        <f t="shared" si="93"/>
        <v>8825.34</v>
      </c>
      <c r="P163">
        <f t="shared" si="94"/>
        <v>8825.34</v>
      </c>
      <c r="Q163">
        <f t="shared" si="95"/>
        <v>0</v>
      </c>
      <c r="R163">
        <f t="shared" si="96"/>
        <v>0</v>
      </c>
      <c r="S163">
        <f t="shared" si="97"/>
        <v>0</v>
      </c>
      <c r="T163">
        <f t="shared" si="98"/>
        <v>0</v>
      </c>
      <c r="U163">
        <f t="shared" si="99"/>
        <v>0</v>
      </c>
      <c r="V163">
        <f t="shared" si="100"/>
        <v>0</v>
      </c>
      <c r="W163">
        <f t="shared" si="101"/>
        <v>0</v>
      </c>
      <c r="X163">
        <f t="shared" si="102"/>
        <v>0</v>
      </c>
      <c r="Y163">
        <f t="shared" si="103"/>
        <v>0</v>
      </c>
      <c r="AA163">
        <v>65178645</v>
      </c>
      <c r="AB163">
        <f t="shared" si="104"/>
        <v>68733.16</v>
      </c>
      <c r="AC163">
        <f t="shared" si="105"/>
        <v>68733.16</v>
      </c>
      <c r="AD163">
        <f t="shared" si="106"/>
        <v>0</v>
      </c>
      <c r="AE163">
        <f t="shared" si="107"/>
        <v>0</v>
      </c>
      <c r="AF163">
        <f t="shared" si="108"/>
        <v>0</v>
      </c>
      <c r="AG163">
        <f t="shared" si="109"/>
        <v>0</v>
      </c>
      <c r="AH163">
        <f t="shared" si="110"/>
        <v>0</v>
      </c>
      <c r="AI163">
        <f t="shared" si="111"/>
        <v>0</v>
      </c>
      <c r="AJ163">
        <f t="shared" si="112"/>
        <v>0</v>
      </c>
      <c r="AK163">
        <v>68733.16</v>
      </c>
      <c r="AL163">
        <v>68733.16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1.07</v>
      </c>
      <c r="BD163" t="s">
        <v>3</v>
      </c>
      <c r="BE163" t="s">
        <v>3</v>
      </c>
      <c r="BF163" t="s">
        <v>3</v>
      </c>
      <c r="BG163" t="s">
        <v>3</v>
      </c>
      <c r="BH163">
        <v>3</v>
      </c>
      <c r="BI163">
        <v>2</v>
      </c>
      <c r="BJ163" t="s">
        <v>223</v>
      </c>
      <c r="BM163">
        <v>500002</v>
      </c>
      <c r="BN163">
        <v>0</v>
      </c>
      <c r="BO163" t="s">
        <v>221</v>
      </c>
      <c r="BP163">
        <v>1</v>
      </c>
      <c r="BQ163">
        <v>12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0</v>
      </c>
      <c r="CA163">
        <v>0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si="113"/>
        <v>8825.34</v>
      </c>
      <c r="CQ163">
        <f t="shared" si="114"/>
        <v>73544.479999999996</v>
      </c>
      <c r="CR163">
        <f t="shared" si="115"/>
        <v>0</v>
      </c>
      <c r="CS163">
        <f t="shared" si="116"/>
        <v>0</v>
      </c>
      <c r="CT163">
        <f t="shared" si="117"/>
        <v>0</v>
      </c>
      <c r="CU163">
        <f t="shared" si="118"/>
        <v>0</v>
      </c>
      <c r="CV163">
        <f t="shared" si="119"/>
        <v>0</v>
      </c>
      <c r="CW163">
        <f t="shared" si="120"/>
        <v>0</v>
      </c>
      <c r="CX163">
        <f t="shared" si="121"/>
        <v>0</v>
      </c>
      <c r="CY163">
        <f>0</f>
        <v>0</v>
      </c>
      <c r="CZ163">
        <f>0</f>
        <v>0</v>
      </c>
      <c r="DC163" t="s">
        <v>3</v>
      </c>
      <c r="DD163" t="s">
        <v>3</v>
      </c>
      <c r="DE163" t="s">
        <v>3</v>
      </c>
      <c r="DF163" t="s">
        <v>3</v>
      </c>
      <c r="DG163" t="s">
        <v>3</v>
      </c>
      <c r="DH163" t="s">
        <v>3</v>
      </c>
      <c r="DI163" t="s">
        <v>3</v>
      </c>
      <c r="DJ163" t="s">
        <v>3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1013</v>
      </c>
      <c r="DV163" t="s">
        <v>162</v>
      </c>
      <c r="DW163" t="s">
        <v>162</v>
      </c>
      <c r="DX163">
        <v>1</v>
      </c>
      <c r="DZ163" t="s">
        <v>3</v>
      </c>
      <c r="EA163" t="s">
        <v>3</v>
      </c>
      <c r="EB163" t="s">
        <v>3</v>
      </c>
      <c r="EC163" t="s">
        <v>3</v>
      </c>
      <c r="EE163">
        <v>64850936</v>
      </c>
      <c r="EF163">
        <v>12</v>
      </c>
      <c r="EG163" t="s">
        <v>189</v>
      </c>
      <c r="EH163">
        <v>0</v>
      </c>
      <c r="EI163" t="s">
        <v>3</v>
      </c>
      <c r="EJ163">
        <v>2</v>
      </c>
      <c r="EK163">
        <v>500002</v>
      </c>
      <c r="EL163" t="s">
        <v>190</v>
      </c>
      <c r="EM163" t="s">
        <v>191</v>
      </c>
      <c r="EO163" t="s">
        <v>3</v>
      </c>
      <c r="EQ163">
        <v>0</v>
      </c>
      <c r="ER163">
        <v>68733.16</v>
      </c>
      <c r="ES163">
        <v>68733.16</v>
      </c>
      <c r="ET163">
        <v>0</v>
      </c>
      <c r="EU163">
        <v>0</v>
      </c>
      <c r="EV163">
        <v>0</v>
      </c>
      <c r="EW163">
        <v>0</v>
      </c>
      <c r="EX163">
        <v>0</v>
      </c>
      <c r="EY163">
        <v>0</v>
      </c>
      <c r="FQ163">
        <v>0</v>
      </c>
      <c r="FR163">
        <f t="shared" si="122"/>
        <v>0</v>
      </c>
      <c r="FS163">
        <v>0</v>
      </c>
      <c r="FX163">
        <v>0</v>
      </c>
      <c r="FY163">
        <v>0</v>
      </c>
      <c r="GA163" t="s">
        <v>3</v>
      </c>
      <c r="GD163">
        <v>1</v>
      </c>
      <c r="GF163">
        <v>1880262255</v>
      </c>
      <c r="GG163">
        <v>2</v>
      </c>
      <c r="GH163">
        <v>1</v>
      </c>
      <c r="GI163">
        <v>2</v>
      </c>
      <c r="GJ163">
        <v>0</v>
      </c>
      <c r="GK163">
        <v>0</v>
      </c>
      <c r="GL163">
        <f t="shared" si="123"/>
        <v>0</v>
      </c>
      <c r="GM163">
        <f t="shared" si="124"/>
        <v>8825.34</v>
      </c>
      <c r="GN163">
        <f t="shared" si="125"/>
        <v>0</v>
      </c>
      <c r="GO163">
        <f t="shared" si="126"/>
        <v>8825.34</v>
      </c>
      <c r="GP163">
        <f t="shared" si="127"/>
        <v>0</v>
      </c>
      <c r="GR163">
        <v>0</v>
      </c>
      <c r="GS163">
        <v>3</v>
      </c>
      <c r="GT163">
        <v>0</v>
      </c>
      <c r="GU163" t="s">
        <v>3</v>
      </c>
      <c r="GV163">
        <f t="shared" si="128"/>
        <v>0</v>
      </c>
      <c r="GW163">
        <v>1</v>
      </c>
      <c r="GX163">
        <f t="shared" si="129"/>
        <v>0</v>
      </c>
      <c r="HA163">
        <v>0</v>
      </c>
      <c r="HB163">
        <v>0</v>
      </c>
      <c r="HC163">
        <f t="shared" si="130"/>
        <v>0</v>
      </c>
      <c r="HE163" t="s">
        <v>3</v>
      </c>
      <c r="HF163" t="s">
        <v>3</v>
      </c>
      <c r="HM163" t="s">
        <v>3</v>
      </c>
      <c r="HN163" t="s">
        <v>3</v>
      </c>
      <c r="HO163" t="s">
        <v>3</v>
      </c>
      <c r="HP163" t="s">
        <v>3</v>
      </c>
      <c r="HQ163" t="s">
        <v>3</v>
      </c>
      <c r="IK163">
        <v>0</v>
      </c>
    </row>
    <row r="164" spans="1:245" x14ac:dyDescent="0.2">
      <c r="A164">
        <v>17</v>
      </c>
      <c r="B164">
        <v>1</v>
      </c>
      <c r="E164" t="s">
        <v>224</v>
      </c>
      <c r="F164" t="s">
        <v>225</v>
      </c>
      <c r="G164" t="s">
        <v>226</v>
      </c>
      <c r="H164" t="s">
        <v>227</v>
      </c>
      <c r="I164">
        <v>20</v>
      </c>
      <c r="J164">
        <v>0</v>
      </c>
      <c r="K164">
        <v>20</v>
      </c>
      <c r="O164">
        <f t="shared" si="93"/>
        <v>14529</v>
      </c>
      <c r="P164">
        <f t="shared" si="94"/>
        <v>14529</v>
      </c>
      <c r="Q164">
        <f t="shared" si="95"/>
        <v>0</v>
      </c>
      <c r="R164">
        <f t="shared" si="96"/>
        <v>0</v>
      </c>
      <c r="S164">
        <f t="shared" si="97"/>
        <v>0</v>
      </c>
      <c r="T164">
        <f t="shared" si="98"/>
        <v>0</v>
      </c>
      <c r="U164">
        <f t="shared" si="99"/>
        <v>0</v>
      </c>
      <c r="V164">
        <f t="shared" si="100"/>
        <v>0</v>
      </c>
      <c r="W164">
        <f t="shared" si="101"/>
        <v>0</v>
      </c>
      <c r="X164">
        <f t="shared" si="102"/>
        <v>0</v>
      </c>
      <c r="Y164">
        <f t="shared" si="103"/>
        <v>0</v>
      </c>
      <c r="AA164">
        <v>65178645</v>
      </c>
      <c r="AB164">
        <f t="shared" si="104"/>
        <v>576.54999999999995</v>
      </c>
      <c r="AC164">
        <f t="shared" si="105"/>
        <v>576.54999999999995</v>
      </c>
      <c r="AD164">
        <f t="shared" si="106"/>
        <v>0</v>
      </c>
      <c r="AE164">
        <f t="shared" si="107"/>
        <v>0</v>
      </c>
      <c r="AF164">
        <f t="shared" si="108"/>
        <v>0</v>
      </c>
      <c r="AG164">
        <f t="shared" si="109"/>
        <v>0</v>
      </c>
      <c r="AH164">
        <f t="shared" si="110"/>
        <v>0</v>
      </c>
      <c r="AI164">
        <f t="shared" si="111"/>
        <v>0</v>
      </c>
      <c r="AJ164">
        <f t="shared" si="112"/>
        <v>0</v>
      </c>
      <c r="AK164">
        <v>576.54999999999995</v>
      </c>
      <c r="AL164">
        <v>576.54999999999995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1.26</v>
      </c>
      <c r="BD164" t="s">
        <v>3</v>
      </c>
      <c r="BE164" t="s">
        <v>3</v>
      </c>
      <c r="BF164" t="s">
        <v>3</v>
      </c>
      <c r="BG164" t="s">
        <v>3</v>
      </c>
      <c r="BH164">
        <v>3</v>
      </c>
      <c r="BI164">
        <v>1</v>
      </c>
      <c r="BJ164" t="s">
        <v>228</v>
      </c>
      <c r="BM164">
        <v>500001</v>
      </c>
      <c r="BN164">
        <v>0</v>
      </c>
      <c r="BO164" t="s">
        <v>225</v>
      </c>
      <c r="BP164">
        <v>1</v>
      </c>
      <c r="BQ164">
        <v>8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0</v>
      </c>
      <c r="CA164">
        <v>0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113"/>
        <v>14529</v>
      </c>
      <c r="CQ164">
        <f t="shared" si="114"/>
        <v>726.45</v>
      </c>
      <c r="CR164">
        <f t="shared" si="115"/>
        <v>0</v>
      </c>
      <c r="CS164">
        <f t="shared" si="116"/>
        <v>0</v>
      </c>
      <c r="CT164">
        <f t="shared" si="117"/>
        <v>0</v>
      </c>
      <c r="CU164">
        <f t="shared" si="118"/>
        <v>0</v>
      </c>
      <c r="CV164">
        <f t="shared" si="119"/>
        <v>0</v>
      </c>
      <c r="CW164">
        <f t="shared" si="120"/>
        <v>0</v>
      </c>
      <c r="CX164">
        <f t="shared" si="121"/>
        <v>0</v>
      </c>
      <c r="CY164">
        <f>0</f>
        <v>0</v>
      </c>
      <c r="CZ164">
        <f>0</f>
        <v>0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1013</v>
      </c>
      <c r="DV164" t="s">
        <v>227</v>
      </c>
      <c r="DW164" t="s">
        <v>227</v>
      </c>
      <c r="DX164">
        <v>1</v>
      </c>
      <c r="DZ164" t="s">
        <v>3</v>
      </c>
      <c r="EA164" t="s">
        <v>3</v>
      </c>
      <c r="EB164" t="s">
        <v>3</v>
      </c>
      <c r="EC164" t="s">
        <v>3</v>
      </c>
      <c r="EE164">
        <v>64850935</v>
      </c>
      <c r="EF164">
        <v>8</v>
      </c>
      <c r="EG164" t="s">
        <v>182</v>
      </c>
      <c r="EH164">
        <v>0</v>
      </c>
      <c r="EI164" t="s">
        <v>3</v>
      </c>
      <c r="EJ164">
        <v>1</v>
      </c>
      <c r="EK164">
        <v>500001</v>
      </c>
      <c r="EL164" t="s">
        <v>183</v>
      </c>
      <c r="EM164" t="s">
        <v>184</v>
      </c>
      <c r="EO164" t="s">
        <v>3</v>
      </c>
      <c r="EQ164">
        <v>0</v>
      </c>
      <c r="ER164">
        <v>576.54999999999995</v>
      </c>
      <c r="ES164">
        <v>576.54999999999995</v>
      </c>
      <c r="ET164">
        <v>0</v>
      </c>
      <c r="EU164">
        <v>0</v>
      </c>
      <c r="EV164">
        <v>0</v>
      </c>
      <c r="EW164">
        <v>0</v>
      </c>
      <c r="EX164">
        <v>0</v>
      </c>
      <c r="EY164">
        <v>0</v>
      </c>
      <c r="FQ164">
        <v>0</v>
      </c>
      <c r="FR164">
        <f t="shared" si="122"/>
        <v>0</v>
      </c>
      <c r="FS164">
        <v>0</v>
      </c>
      <c r="FX164">
        <v>0</v>
      </c>
      <c r="FY164">
        <v>0</v>
      </c>
      <c r="GA164" t="s">
        <v>3</v>
      </c>
      <c r="GD164">
        <v>1</v>
      </c>
      <c r="GF164">
        <v>-1442845422</v>
      </c>
      <c r="GG164">
        <v>2</v>
      </c>
      <c r="GH164">
        <v>1</v>
      </c>
      <c r="GI164">
        <v>2</v>
      </c>
      <c r="GJ164">
        <v>0</v>
      </c>
      <c r="GK164">
        <v>0</v>
      </c>
      <c r="GL164">
        <f t="shared" si="123"/>
        <v>0</v>
      </c>
      <c r="GM164">
        <f t="shared" si="124"/>
        <v>14529</v>
      </c>
      <c r="GN164">
        <f t="shared" si="125"/>
        <v>14529</v>
      </c>
      <c r="GO164">
        <f t="shared" si="126"/>
        <v>0</v>
      </c>
      <c r="GP164">
        <f t="shared" si="127"/>
        <v>0</v>
      </c>
      <c r="GR164">
        <v>0</v>
      </c>
      <c r="GS164">
        <v>3</v>
      </c>
      <c r="GT164">
        <v>0</v>
      </c>
      <c r="GU164" t="s">
        <v>3</v>
      </c>
      <c r="GV164">
        <f t="shared" si="128"/>
        <v>0</v>
      </c>
      <c r="GW164">
        <v>1</v>
      </c>
      <c r="GX164">
        <f t="shared" si="129"/>
        <v>0</v>
      </c>
      <c r="HA164">
        <v>0</v>
      </c>
      <c r="HB164">
        <v>0</v>
      </c>
      <c r="HC164">
        <f t="shared" si="130"/>
        <v>0</v>
      </c>
      <c r="HE164" t="s">
        <v>3</v>
      </c>
      <c r="HF164" t="s">
        <v>3</v>
      </c>
      <c r="HM164" t="s">
        <v>3</v>
      </c>
      <c r="HN164" t="s">
        <v>3</v>
      </c>
      <c r="HO164" t="s">
        <v>3</v>
      </c>
      <c r="HP164" t="s">
        <v>3</v>
      </c>
      <c r="HQ164" t="s">
        <v>3</v>
      </c>
      <c r="IK164">
        <v>0</v>
      </c>
    </row>
    <row r="165" spans="1:245" x14ac:dyDescent="0.2">
      <c r="A165">
        <v>17</v>
      </c>
      <c r="B165">
        <v>1</v>
      </c>
      <c r="E165" t="s">
        <v>229</v>
      </c>
      <c r="F165" t="s">
        <v>230</v>
      </c>
      <c r="G165" t="s">
        <v>231</v>
      </c>
      <c r="H165" t="s">
        <v>162</v>
      </c>
      <c r="I165">
        <f>ROUND(24/100,7)</f>
        <v>0.24</v>
      </c>
      <c r="J165">
        <v>0</v>
      </c>
      <c r="K165">
        <f>ROUND(24/100,7)</f>
        <v>0.24</v>
      </c>
      <c r="O165">
        <f t="shared" si="93"/>
        <v>13571.93</v>
      </c>
      <c r="P165">
        <f t="shared" si="94"/>
        <v>13571.93</v>
      </c>
      <c r="Q165">
        <f t="shared" si="95"/>
        <v>0</v>
      </c>
      <c r="R165">
        <f t="shared" si="96"/>
        <v>0</v>
      </c>
      <c r="S165">
        <f t="shared" si="97"/>
        <v>0</v>
      </c>
      <c r="T165">
        <f t="shared" si="98"/>
        <v>0</v>
      </c>
      <c r="U165">
        <f t="shared" si="99"/>
        <v>0</v>
      </c>
      <c r="V165">
        <f t="shared" si="100"/>
        <v>0</v>
      </c>
      <c r="W165">
        <f t="shared" si="101"/>
        <v>0</v>
      </c>
      <c r="X165">
        <f t="shared" si="102"/>
        <v>0</v>
      </c>
      <c r="Y165">
        <f t="shared" si="103"/>
        <v>0</v>
      </c>
      <c r="AA165">
        <v>65178645</v>
      </c>
      <c r="AB165">
        <f t="shared" si="104"/>
        <v>52850.19</v>
      </c>
      <c r="AC165">
        <f t="shared" si="105"/>
        <v>52850.19</v>
      </c>
      <c r="AD165">
        <f t="shared" si="106"/>
        <v>0</v>
      </c>
      <c r="AE165">
        <f t="shared" si="107"/>
        <v>0</v>
      </c>
      <c r="AF165">
        <f t="shared" si="108"/>
        <v>0</v>
      </c>
      <c r="AG165">
        <f t="shared" si="109"/>
        <v>0</v>
      </c>
      <c r="AH165">
        <f t="shared" si="110"/>
        <v>0</v>
      </c>
      <c r="AI165">
        <f t="shared" si="111"/>
        <v>0</v>
      </c>
      <c r="AJ165">
        <f t="shared" si="112"/>
        <v>0</v>
      </c>
      <c r="AK165">
        <v>52850.19</v>
      </c>
      <c r="AL165">
        <v>52850.19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1.07</v>
      </c>
      <c r="BD165" t="s">
        <v>3</v>
      </c>
      <c r="BE165" t="s">
        <v>3</v>
      </c>
      <c r="BF165" t="s">
        <v>3</v>
      </c>
      <c r="BG165" t="s">
        <v>3</v>
      </c>
      <c r="BH165">
        <v>3</v>
      </c>
      <c r="BI165">
        <v>2</v>
      </c>
      <c r="BJ165" t="s">
        <v>232</v>
      </c>
      <c r="BM165">
        <v>500002</v>
      </c>
      <c r="BN165">
        <v>0</v>
      </c>
      <c r="BO165" t="s">
        <v>230</v>
      </c>
      <c r="BP165">
        <v>1</v>
      </c>
      <c r="BQ165">
        <v>12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0</v>
      </c>
      <c r="CA165">
        <v>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13"/>
        <v>13571.93</v>
      </c>
      <c r="CQ165">
        <f t="shared" si="114"/>
        <v>56549.7</v>
      </c>
      <c r="CR165">
        <f t="shared" si="115"/>
        <v>0</v>
      </c>
      <c r="CS165">
        <f t="shared" si="116"/>
        <v>0</v>
      </c>
      <c r="CT165">
        <f t="shared" si="117"/>
        <v>0</v>
      </c>
      <c r="CU165">
        <f t="shared" si="118"/>
        <v>0</v>
      </c>
      <c r="CV165">
        <f t="shared" si="119"/>
        <v>0</v>
      </c>
      <c r="CW165">
        <f t="shared" si="120"/>
        <v>0</v>
      </c>
      <c r="CX165">
        <f t="shared" si="121"/>
        <v>0</v>
      </c>
      <c r="CY165">
        <f>0</f>
        <v>0</v>
      </c>
      <c r="CZ165">
        <f>0</f>
        <v>0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1013</v>
      </c>
      <c r="DV165" t="s">
        <v>162</v>
      </c>
      <c r="DW165" t="s">
        <v>162</v>
      </c>
      <c r="DX165">
        <v>1</v>
      </c>
      <c r="DZ165" t="s">
        <v>3</v>
      </c>
      <c r="EA165" t="s">
        <v>3</v>
      </c>
      <c r="EB165" t="s">
        <v>3</v>
      </c>
      <c r="EC165" t="s">
        <v>3</v>
      </c>
      <c r="EE165">
        <v>64850936</v>
      </c>
      <c r="EF165">
        <v>12</v>
      </c>
      <c r="EG165" t="s">
        <v>189</v>
      </c>
      <c r="EH165">
        <v>0</v>
      </c>
      <c r="EI165" t="s">
        <v>3</v>
      </c>
      <c r="EJ165">
        <v>2</v>
      </c>
      <c r="EK165">
        <v>500002</v>
      </c>
      <c r="EL165" t="s">
        <v>190</v>
      </c>
      <c r="EM165" t="s">
        <v>191</v>
      </c>
      <c r="EO165" t="s">
        <v>3</v>
      </c>
      <c r="EQ165">
        <v>0</v>
      </c>
      <c r="ER165">
        <v>52850.19</v>
      </c>
      <c r="ES165">
        <v>52850.19</v>
      </c>
      <c r="ET165">
        <v>0</v>
      </c>
      <c r="EU165">
        <v>0</v>
      </c>
      <c r="EV165">
        <v>0</v>
      </c>
      <c r="EW165">
        <v>0</v>
      </c>
      <c r="EX165">
        <v>0</v>
      </c>
      <c r="EY165">
        <v>0</v>
      </c>
      <c r="FQ165">
        <v>0</v>
      </c>
      <c r="FR165">
        <f t="shared" si="122"/>
        <v>0</v>
      </c>
      <c r="FS165">
        <v>0</v>
      </c>
      <c r="FX165">
        <v>0</v>
      </c>
      <c r="FY165">
        <v>0</v>
      </c>
      <c r="GA165" t="s">
        <v>3</v>
      </c>
      <c r="GD165">
        <v>1</v>
      </c>
      <c r="GF165">
        <v>-1086827248</v>
      </c>
      <c r="GG165">
        <v>2</v>
      </c>
      <c r="GH165">
        <v>1</v>
      </c>
      <c r="GI165">
        <v>2</v>
      </c>
      <c r="GJ165">
        <v>0</v>
      </c>
      <c r="GK165">
        <v>0</v>
      </c>
      <c r="GL165">
        <f t="shared" si="123"/>
        <v>0</v>
      </c>
      <c r="GM165">
        <f t="shared" si="124"/>
        <v>13571.93</v>
      </c>
      <c r="GN165">
        <f t="shared" si="125"/>
        <v>0</v>
      </c>
      <c r="GO165">
        <f t="shared" si="126"/>
        <v>13571.93</v>
      </c>
      <c r="GP165">
        <f t="shared" si="127"/>
        <v>0</v>
      </c>
      <c r="GR165">
        <v>0</v>
      </c>
      <c r="GS165">
        <v>0</v>
      </c>
      <c r="GT165">
        <v>0</v>
      </c>
      <c r="GU165" t="s">
        <v>3</v>
      </c>
      <c r="GV165">
        <f t="shared" si="128"/>
        <v>0</v>
      </c>
      <c r="GW165">
        <v>1</v>
      </c>
      <c r="GX165">
        <f t="shared" si="129"/>
        <v>0</v>
      </c>
      <c r="HA165">
        <v>0</v>
      </c>
      <c r="HB165">
        <v>0</v>
      </c>
      <c r="HC165">
        <f t="shared" si="130"/>
        <v>0</v>
      </c>
      <c r="HE165" t="s">
        <v>3</v>
      </c>
      <c r="HF165" t="s">
        <v>3</v>
      </c>
      <c r="HM165" t="s">
        <v>3</v>
      </c>
      <c r="HN165" t="s">
        <v>3</v>
      </c>
      <c r="HO165" t="s">
        <v>3</v>
      </c>
      <c r="HP165" t="s">
        <v>3</v>
      </c>
      <c r="HQ165" t="s">
        <v>3</v>
      </c>
      <c r="IK165">
        <v>0</v>
      </c>
    </row>
    <row r="166" spans="1:245" x14ac:dyDescent="0.2">
      <c r="A166">
        <v>17</v>
      </c>
      <c r="B166">
        <v>1</v>
      </c>
      <c r="E166" t="s">
        <v>233</v>
      </c>
      <c r="F166" t="s">
        <v>234</v>
      </c>
      <c r="G166" t="s">
        <v>235</v>
      </c>
      <c r="H166" t="s">
        <v>227</v>
      </c>
      <c r="I166">
        <v>12</v>
      </c>
      <c r="J166">
        <v>0</v>
      </c>
      <c r="K166">
        <v>12</v>
      </c>
      <c r="O166">
        <f t="shared" si="93"/>
        <v>20069.400000000001</v>
      </c>
      <c r="P166">
        <f t="shared" si="94"/>
        <v>20069.400000000001</v>
      </c>
      <c r="Q166">
        <f t="shared" si="95"/>
        <v>0</v>
      </c>
      <c r="R166">
        <f t="shared" si="96"/>
        <v>0</v>
      </c>
      <c r="S166">
        <f t="shared" si="97"/>
        <v>0</v>
      </c>
      <c r="T166">
        <f t="shared" si="98"/>
        <v>0</v>
      </c>
      <c r="U166">
        <f t="shared" si="99"/>
        <v>0</v>
      </c>
      <c r="V166">
        <f t="shared" si="100"/>
        <v>0</v>
      </c>
      <c r="W166">
        <f t="shared" si="101"/>
        <v>0</v>
      </c>
      <c r="X166">
        <f t="shared" si="102"/>
        <v>0</v>
      </c>
      <c r="Y166">
        <f t="shared" si="103"/>
        <v>0</v>
      </c>
      <c r="AA166">
        <v>65178645</v>
      </c>
      <c r="AB166">
        <f t="shared" si="104"/>
        <v>1480.04</v>
      </c>
      <c r="AC166">
        <f t="shared" si="105"/>
        <v>1480.04</v>
      </c>
      <c r="AD166">
        <f t="shared" si="106"/>
        <v>0</v>
      </c>
      <c r="AE166">
        <f t="shared" si="107"/>
        <v>0</v>
      </c>
      <c r="AF166">
        <f t="shared" si="108"/>
        <v>0</v>
      </c>
      <c r="AG166">
        <f t="shared" si="109"/>
        <v>0</v>
      </c>
      <c r="AH166">
        <f t="shared" si="110"/>
        <v>0</v>
      </c>
      <c r="AI166">
        <f t="shared" si="111"/>
        <v>0</v>
      </c>
      <c r="AJ166">
        <f t="shared" si="112"/>
        <v>0</v>
      </c>
      <c r="AK166">
        <v>1480.04</v>
      </c>
      <c r="AL166">
        <v>1480.04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1.1299999999999999</v>
      </c>
      <c r="BD166" t="s">
        <v>3</v>
      </c>
      <c r="BE166" t="s">
        <v>3</v>
      </c>
      <c r="BF166" t="s">
        <v>3</v>
      </c>
      <c r="BG166" t="s">
        <v>3</v>
      </c>
      <c r="BH166">
        <v>3</v>
      </c>
      <c r="BI166">
        <v>2</v>
      </c>
      <c r="BJ166" t="s">
        <v>236</v>
      </c>
      <c r="BM166">
        <v>500002</v>
      </c>
      <c r="BN166">
        <v>0</v>
      </c>
      <c r="BO166" t="s">
        <v>234</v>
      </c>
      <c r="BP166">
        <v>1</v>
      </c>
      <c r="BQ166">
        <v>12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0</v>
      </c>
      <c r="CA166">
        <v>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13"/>
        <v>20069.400000000001</v>
      </c>
      <c r="CQ166">
        <f t="shared" si="114"/>
        <v>1672.45</v>
      </c>
      <c r="CR166">
        <f t="shared" si="115"/>
        <v>0</v>
      </c>
      <c r="CS166">
        <f t="shared" si="116"/>
        <v>0</v>
      </c>
      <c r="CT166">
        <f t="shared" si="117"/>
        <v>0</v>
      </c>
      <c r="CU166">
        <f t="shared" si="118"/>
        <v>0</v>
      </c>
      <c r="CV166">
        <f t="shared" si="119"/>
        <v>0</v>
      </c>
      <c r="CW166">
        <f t="shared" si="120"/>
        <v>0</v>
      </c>
      <c r="CX166">
        <f t="shared" si="121"/>
        <v>0</v>
      </c>
      <c r="CY166">
        <f>0</f>
        <v>0</v>
      </c>
      <c r="CZ166">
        <f>0</f>
        <v>0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1013</v>
      </c>
      <c r="DV166" t="s">
        <v>227</v>
      </c>
      <c r="DW166" t="s">
        <v>227</v>
      </c>
      <c r="DX166">
        <v>1</v>
      </c>
      <c r="DZ166" t="s">
        <v>3</v>
      </c>
      <c r="EA166" t="s">
        <v>3</v>
      </c>
      <c r="EB166" t="s">
        <v>3</v>
      </c>
      <c r="EC166" t="s">
        <v>3</v>
      </c>
      <c r="EE166">
        <v>64850936</v>
      </c>
      <c r="EF166">
        <v>12</v>
      </c>
      <c r="EG166" t="s">
        <v>189</v>
      </c>
      <c r="EH166">
        <v>0</v>
      </c>
      <c r="EI166" t="s">
        <v>3</v>
      </c>
      <c r="EJ166">
        <v>2</v>
      </c>
      <c r="EK166">
        <v>500002</v>
      </c>
      <c r="EL166" t="s">
        <v>190</v>
      </c>
      <c r="EM166" t="s">
        <v>191</v>
      </c>
      <c r="EO166" t="s">
        <v>3</v>
      </c>
      <c r="EQ166">
        <v>0</v>
      </c>
      <c r="ER166">
        <v>1480.04</v>
      </c>
      <c r="ES166">
        <v>1480.04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FQ166">
        <v>0</v>
      </c>
      <c r="FR166">
        <f t="shared" si="122"/>
        <v>0</v>
      </c>
      <c r="FS166">
        <v>0</v>
      </c>
      <c r="FX166">
        <v>0</v>
      </c>
      <c r="FY166">
        <v>0</v>
      </c>
      <c r="GA166" t="s">
        <v>3</v>
      </c>
      <c r="GD166">
        <v>1</v>
      </c>
      <c r="GF166">
        <v>-1286282720</v>
      </c>
      <c r="GG166">
        <v>2</v>
      </c>
      <c r="GH166">
        <v>1</v>
      </c>
      <c r="GI166">
        <v>2</v>
      </c>
      <c r="GJ166">
        <v>0</v>
      </c>
      <c r="GK166">
        <v>0</v>
      </c>
      <c r="GL166">
        <f t="shared" si="123"/>
        <v>0</v>
      </c>
      <c r="GM166">
        <f t="shared" si="124"/>
        <v>20069.400000000001</v>
      </c>
      <c r="GN166">
        <f t="shared" si="125"/>
        <v>0</v>
      </c>
      <c r="GO166">
        <f t="shared" si="126"/>
        <v>20069.400000000001</v>
      </c>
      <c r="GP166">
        <f t="shared" si="127"/>
        <v>0</v>
      </c>
      <c r="GR166">
        <v>0</v>
      </c>
      <c r="GS166">
        <v>0</v>
      </c>
      <c r="GT166">
        <v>0</v>
      </c>
      <c r="GU166" t="s">
        <v>3</v>
      </c>
      <c r="GV166">
        <f t="shared" si="128"/>
        <v>0</v>
      </c>
      <c r="GW166">
        <v>1</v>
      </c>
      <c r="GX166">
        <f t="shared" si="129"/>
        <v>0</v>
      </c>
      <c r="HA166">
        <v>0</v>
      </c>
      <c r="HB166">
        <v>0</v>
      </c>
      <c r="HC166">
        <f t="shared" si="130"/>
        <v>0</v>
      </c>
      <c r="HE166" t="s">
        <v>3</v>
      </c>
      <c r="HF166" t="s">
        <v>3</v>
      </c>
      <c r="HM166" t="s">
        <v>3</v>
      </c>
      <c r="HN166" t="s">
        <v>3</v>
      </c>
      <c r="HO166" t="s">
        <v>3</v>
      </c>
      <c r="HP166" t="s">
        <v>3</v>
      </c>
      <c r="HQ166" t="s">
        <v>3</v>
      </c>
      <c r="IK166">
        <v>0</v>
      </c>
    </row>
    <row r="167" spans="1:245" x14ac:dyDescent="0.2">
      <c r="A167">
        <v>17</v>
      </c>
      <c r="B167">
        <v>1</v>
      </c>
      <c r="E167" t="s">
        <v>237</v>
      </c>
      <c r="F167" t="s">
        <v>238</v>
      </c>
      <c r="G167" t="s">
        <v>239</v>
      </c>
      <c r="H167" t="s">
        <v>77</v>
      </c>
      <c r="I167">
        <v>12</v>
      </c>
      <c r="J167">
        <v>0</v>
      </c>
      <c r="K167">
        <v>12</v>
      </c>
      <c r="O167">
        <f t="shared" si="93"/>
        <v>5210.28</v>
      </c>
      <c r="P167">
        <f t="shared" si="94"/>
        <v>5210.28</v>
      </c>
      <c r="Q167">
        <f t="shared" si="95"/>
        <v>0</v>
      </c>
      <c r="R167">
        <f t="shared" si="96"/>
        <v>0</v>
      </c>
      <c r="S167">
        <f t="shared" si="97"/>
        <v>0</v>
      </c>
      <c r="T167">
        <f t="shared" si="98"/>
        <v>0</v>
      </c>
      <c r="U167">
        <f t="shared" si="99"/>
        <v>0</v>
      </c>
      <c r="V167">
        <f t="shared" si="100"/>
        <v>0</v>
      </c>
      <c r="W167">
        <f t="shared" si="101"/>
        <v>0</v>
      </c>
      <c r="X167">
        <f t="shared" si="102"/>
        <v>0</v>
      </c>
      <c r="Y167">
        <f t="shared" si="103"/>
        <v>0</v>
      </c>
      <c r="AA167">
        <v>65178645</v>
      </c>
      <c r="AB167">
        <f t="shared" si="104"/>
        <v>384.24</v>
      </c>
      <c r="AC167">
        <f t="shared" si="105"/>
        <v>384.24</v>
      </c>
      <c r="AD167">
        <f t="shared" si="106"/>
        <v>0</v>
      </c>
      <c r="AE167">
        <f t="shared" si="107"/>
        <v>0</v>
      </c>
      <c r="AF167">
        <f t="shared" si="108"/>
        <v>0</v>
      </c>
      <c r="AG167">
        <f t="shared" si="109"/>
        <v>0</v>
      </c>
      <c r="AH167">
        <f t="shared" si="110"/>
        <v>0</v>
      </c>
      <c r="AI167">
        <f t="shared" si="111"/>
        <v>0</v>
      </c>
      <c r="AJ167">
        <f t="shared" si="112"/>
        <v>0</v>
      </c>
      <c r="AK167">
        <v>384.24</v>
      </c>
      <c r="AL167">
        <v>384.24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1.1299999999999999</v>
      </c>
      <c r="BD167" t="s">
        <v>3</v>
      </c>
      <c r="BE167" t="s">
        <v>3</v>
      </c>
      <c r="BF167" t="s">
        <v>3</v>
      </c>
      <c r="BG167" t="s">
        <v>3</v>
      </c>
      <c r="BH167">
        <v>3</v>
      </c>
      <c r="BI167">
        <v>1</v>
      </c>
      <c r="BJ167" t="s">
        <v>240</v>
      </c>
      <c r="BM167">
        <v>500001</v>
      </c>
      <c r="BN167">
        <v>0</v>
      </c>
      <c r="BO167" t="s">
        <v>238</v>
      </c>
      <c r="BP167">
        <v>1</v>
      </c>
      <c r="BQ167">
        <v>8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0</v>
      </c>
      <c r="CA167">
        <v>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13"/>
        <v>5210.28</v>
      </c>
      <c r="CQ167">
        <f t="shared" si="114"/>
        <v>434.19</v>
      </c>
      <c r="CR167">
        <f t="shared" si="115"/>
        <v>0</v>
      </c>
      <c r="CS167">
        <f t="shared" si="116"/>
        <v>0</v>
      </c>
      <c r="CT167">
        <f t="shared" si="117"/>
        <v>0</v>
      </c>
      <c r="CU167">
        <f t="shared" si="118"/>
        <v>0</v>
      </c>
      <c r="CV167">
        <f t="shared" si="119"/>
        <v>0</v>
      </c>
      <c r="CW167">
        <f t="shared" si="120"/>
        <v>0</v>
      </c>
      <c r="CX167">
        <f t="shared" si="121"/>
        <v>0</v>
      </c>
      <c r="CY167">
        <f>0</f>
        <v>0</v>
      </c>
      <c r="CZ167">
        <f>0</f>
        <v>0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1013</v>
      </c>
      <c r="DV167" t="s">
        <v>77</v>
      </c>
      <c r="DW167" t="s">
        <v>77</v>
      </c>
      <c r="DX167">
        <v>1</v>
      </c>
      <c r="DZ167" t="s">
        <v>3</v>
      </c>
      <c r="EA167" t="s">
        <v>3</v>
      </c>
      <c r="EB167" t="s">
        <v>3</v>
      </c>
      <c r="EC167" t="s">
        <v>3</v>
      </c>
      <c r="EE167">
        <v>64850935</v>
      </c>
      <c r="EF167">
        <v>8</v>
      </c>
      <c r="EG167" t="s">
        <v>182</v>
      </c>
      <c r="EH167">
        <v>0</v>
      </c>
      <c r="EI167" t="s">
        <v>3</v>
      </c>
      <c r="EJ167">
        <v>1</v>
      </c>
      <c r="EK167">
        <v>500001</v>
      </c>
      <c r="EL167" t="s">
        <v>183</v>
      </c>
      <c r="EM167" t="s">
        <v>184</v>
      </c>
      <c r="EO167" t="s">
        <v>3</v>
      </c>
      <c r="EQ167">
        <v>0</v>
      </c>
      <c r="ER167">
        <v>384.24</v>
      </c>
      <c r="ES167">
        <v>384.24</v>
      </c>
      <c r="ET167">
        <v>0</v>
      </c>
      <c r="EU167">
        <v>0</v>
      </c>
      <c r="EV167">
        <v>0</v>
      </c>
      <c r="EW167">
        <v>0</v>
      </c>
      <c r="EX167">
        <v>0</v>
      </c>
      <c r="EY167">
        <v>0</v>
      </c>
      <c r="FQ167">
        <v>0</v>
      </c>
      <c r="FR167">
        <f t="shared" si="122"/>
        <v>0</v>
      </c>
      <c r="FS167">
        <v>0</v>
      </c>
      <c r="FX167">
        <v>0</v>
      </c>
      <c r="FY167">
        <v>0</v>
      </c>
      <c r="GA167" t="s">
        <v>3</v>
      </c>
      <c r="GD167">
        <v>1</v>
      </c>
      <c r="GF167">
        <v>1358770761</v>
      </c>
      <c r="GG167">
        <v>2</v>
      </c>
      <c r="GH167">
        <v>1</v>
      </c>
      <c r="GI167">
        <v>2</v>
      </c>
      <c r="GJ167">
        <v>0</v>
      </c>
      <c r="GK167">
        <v>0</v>
      </c>
      <c r="GL167">
        <f t="shared" si="123"/>
        <v>0</v>
      </c>
      <c r="GM167">
        <f t="shared" si="124"/>
        <v>5210.28</v>
      </c>
      <c r="GN167">
        <f t="shared" si="125"/>
        <v>5210.28</v>
      </c>
      <c r="GO167">
        <f t="shared" si="126"/>
        <v>0</v>
      </c>
      <c r="GP167">
        <f t="shared" si="127"/>
        <v>0</v>
      </c>
      <c r="GR167">
        <v>0</v>
      </c>
      <c r="GS167">
        <v>3</v>
      </c>
      <c r="GT167">
        <v>0</v>
      </c>
      <c r="GU167" t="s">
        <v>3</v>
      </c>
      <c r="GV167">
        <f t="shared" si="128"/>
        <v>0</v>
      </c>
      <c r="GW167">
        <v>1</v>
      </c>
      <c r="GX167">
        <f t="shared" si="129"/>
        <v>0</v>
      </c>
      <c r="HA167">
        <v>0</v>
      </c>
      <c r="HB167">
        <v>0</v>
      </c>
      <c r="HC167">
        <f t="shared" si="130"/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8" spans="1:245" x14ac:dyDescent="0.2">
      <c r="A168">
        <v>17</v>
      </c>
      <c r="B168">
        <v>1</v>
      </c>
      <c r="E168" t="s">
        <v>241</v>
      </c>
      <c r="F168" t="s">
        <v>242</v>
      </c>
      <c r="G168" t="s">
        <v>243</v>
      </c>
      <c r="H168" t="s">
        <v>244</v>
      </c>
      <c r="I168">
        <v>0.17316000000000001</v>
      </c>
      <c r="J168">
        <v>0</v>
      </c>
      <c r="K168">
        <v>0.17316000000000001</v>
      </c>
      <c r="O168">
        <f t="shared" si="93"/>
        <v>10462.17</v>
      </c>
      <c r="P168">
        <f t="shared" si="94"/>
        <v>10462.17</v>
      </c>
      <c r="Q168">
        <f t="shared" si="95"/>
        <v>0</v>
      </c>
      <c r="R168">
        <f t="shared" si="96"/>
        <v>0</v>
      </c>
      <c r="S168">
        <f t="shared" si="97"/>
        <v>0</v>
      </c>
      <c r="T168">
        <f t="shared" si="98"/>
        <v>0</v>
      </c>
      <c r="U168">
        <f t="shared" si="99"/>
        <v>0</v>
      </c>
      <c r="V168">
        <f t="shared" si="100"/>
        <v>0</v>
      </c>
      <c r="W168">
        <f t="shared" si="101"/>
        <v>0</v>
      </c>
      <c r="X168">
        <f t="shared" si="102"/>
        <v>0</v>
      </c>
      <c r="Y168">
        <f t="shared" si="103"/>
        <v>0</v>
      </c>
      <c r="AA168">
        <v>65178645</v>
      </c>
      <c r="AB168">
        <f t="shared" si="104"/>
        <v>60419.11</v>
      </c>
      <c r="AC168">
        <f t="shared" si="105"/>
        <v>60419.11</v>
      </c>
      <c r="AD168">
        <f t="shared" si="106"/>
        <v>0</v>
      </c>
      <c r="AE168">
        <f t="shared" si="107"/>
        <v>0</v>
      </c>
      <c r="AF168">
        <f t="shared" si="108"/>
        <v>0</v>
      </c>
      <c r="AG168">
        <f t="shared" si="109"/>
        <v>0</v>
      </c>
      <c r="AH168">
        <f t="shared" si="110"/>
        <v>0</v>
      </c>
      <c r="AI168">
        <f t="shared" si="111"/>
        <v>0</v>
      </c>
      <c r="AJ168">
        <f t="shared" si="112"/>
        <v>0</v>
      </c>
      <c r="AK168">
        <v>60419.11</v>
      </c>
      <c r="AL168">
        <v>60419.11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3</v>
      </c>
      <c r="BI168">
        <v>1</v>
      </c>
      <c r="BJ168" t="s">
        <v>245</v>
      </c>
      <c r="BM168">
        <v>500001</v>
      </c>
      <c r="BN168">
        <v>0</v>
      </c>
      <c r="BO168" t="s">
        <v>3</v>
      </c>
      <c r="BP168">
        <v>0</v>
      </c>
      <c r="BQ168">
        <v>8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0</v>
      </c>
      <c r="CA168">
        <v>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13"/>
        <v>10462.17</v>
      </c>
      <c r="CQ168">
        <f t="shared" si="114"/>
        <v>60419.11</v>
      </c>
      <c r="CR168">
        <f t="shared" si="115"/>
        <v>0</v>
      </c>
      <c r="CS168">
        <f t="shared" si="116"/>
        <v>0</v>
      </c>
      <c r="CT168">
        <f t="shared" si="117"/>
        <v>0</v>
      </c>
      <c r="CU168">
        <f t="shared" si="118"/>
        <v>0</v>
      </c>
      <c r="CV168">
        <f t="shared" si="119"/>
        <v>0</v>
      </c>
      <c r="CW168">
        <f t="shared" si="120"/>
        <v>0</v>
      </c>
      <c r="CX168">
        <f t="shared" si="121"/>
        <v>0</v>
      </c>
      <c r="CY168">
        <f>0</f>
        <v>0</v>
      </c>
      <c r="CZ168">
        <f>0</f>
        <v>0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1009</v>
      </c>
      <c r="DV168" t="s">
        <v>244</v>
      </c>
      <c r="DW168" t="s">
        <v>244</v>
      </c>
      <c r="DX168">
        <v>1000</v>
      </c>
      <c r="DZ168" t="s">
        <v>3</v>
      </c>
      <c r="EA168" t="s">
        <v>3</v>
      </c>
      <c r="EB168" t="s">
        <v>3</v>
      </c>
      <c r="EC168" t="s">
        <v>3</v>
      </c>
      <c r="EE168">
        <v>64850935</v>
      </c>
      <c r="EF168">
        <v>8</v>
      </c>
      <c r="EG168" t="s">
        <v>182</v>
      </c>
      <c r="EH168">
        <v>0</v>
      </c>
      <c r="EI168" t="s">
        <v>3</v>
      </c>
      <c r="EJ168">
        <v>1</v>
      </c>
      <c r="EK168">
        <v>500001</v>
      </c>
      <c r="EL168" t="s">
        <v>183</v>
      </c>
      <c r="EM168" t="s">
        <v>184</v>
      </c>
      <c r="EO168" t="s">
        <v>3</v>
      </c>
      <c r="EQ168">
        <v>0</v>
      </c>
      <c r="ER168">
        <v>60419.11</v>
      </c>
      <c r="ES168">
        <v>60419.11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FQ168">
        <v>10462.17</v>
      </c>
      <c r="FR168">
        <f t="shared" si="122"/>
        <v>0</v>
      </c>
      <c r="FS168">
        <v>0</v>
      </c>
      <c r="FX168">
        <v>0</v>
      </c>
      <c r="FY168">
        <v>0</v>
      </c>
      <c r="GA168" t="s">
        <v>3</v>
      </c>
      <c r="GD168">
        <v>1</v>
      </c>
      <c r="GE168">
        <v>69695</v>
      </c>
      <c r="GF168">
        <v>-1132159422</v>
      </c>
      <c r="GG168">
        <v>2</v>
      </c>
      <c r="GH168">
        <v>1</v>
      </c>
      <c r="GI168">
        <v>-2</v>
      </c>
      <c r="GJ168">
        <v>0</v>
      </c>
      <c r="GK168">
        <v>0</v>
      </c>
      <c r="GL168">
        <f t="shared" si="123"/>
        <v>0</v>
      </c>
      <c r="GM168">
        <f t="shared" si="124"/>
        <v>10462.17</v>
      </c>
      <c r="GN168">
        <f t="shared" si="125"/>
        <v>10462.17</v>
      </c>
      <c r="GO168">
        <f t="shared" si="126"/>
        <v>0</v>
      </c>
      <c r="GP168">
        <f t="shared" si="127"/>
        <v>0</v>
      </c>
      <c r="GR168">
        <v>3</v>
      </c>
      <c r="GS168">
        <v>3</v>
      </c>
      <c r="GT168">
        <v>0</v>
      </c>
      <c r="GU168" t="s">
        <v>3</v>
      </c>
      <c r="GV168">
        <f t="shared" si="128"/>
        <v>0</v>
      </c>
      <c r="GW168">
        <v>1</v>
      </c>
      <c r="GX168">
        <f t="shared" si="129"/>
        <v>0</v>
      </c>
      <c r="HA168">
        <v>0</v>
      </c>
      <c r="HB168">
        <v>0</v>
      </c>
      <c r="HC168">
        <f t="shared" si="130"/>
        <v>0</v>
      </c>
      <c r="HE168" t="s">
        <v>3</v>
      </c>
      <c r="HF168" t="s">
        <v>3</v>
      </c>
      <c r="HM168" t="s">
        <v>3</v>
      </c>
      <c r="HN168" t="s">
        <v>3</v>
      </c>
      <c r="HO168" t="s">
        <v>3</v>
      </c>
      <c r="HP168" t="s">
        <v>3</v>
      </c>
      <c r="HQ168" t="s">
        <v>3</v>
      </c>
      <c r="IK168">
        <v>0</v>
      </c>
    </row>
    <row r="169" spans="1:245" x14ac:dyDescent="0.2">
      <c r="A169">
        <v>17</v>
      </c>
      <c r="B169">
        <v>1</v>
      </c>
      <c r="E169" t="s">
        <v>246</v>
      </c>
      <c r="F169" t="s">
        <v>247</v>
      </c>
      <c r="G169" t="s">
        <v>248</v>
      </c>
      <c r="H169" t="s">
        <v>162</v>
      </c>
      <c r="I169">
        <f>ROUND(88/100,7)</f>
        <v>0.88</v>
      </c>
      <c r="J169">
        <v>0</v>
      </c>
      <c r="K169">
        <f>ROUND(88/100,7)</f>
        <v>0.88</v>
      </c>
      <c r="O169">
        <f t="shared" si="93"/>
        <v>385.73</v>
      </c>
      <c r="P169">
        <f t="shared" si="94"/>
        <v>385.73</v>
      </c>
      <c r="Q169">
        <f t="shared" si="95"/>
        <v>0</v>
      </c>
      <c r="R169">
        <f t="shared" si="96"/>
        <v>0</v>
      </c>
      <c r="S169">
        <f t="shared" si="97"/>
        <v>0</v>
      </c>
      <c r="T169">
        <f t="shared" si="98"/>
        <v>0</v>
      </c>
      <c r="U169">
        <f t="shared" si="99"/>
        <v>0</v>
      </c>
      <c r="V169">
        <f t="shared" si="100"/>
        <v>0</v>
      </c>
      <c r="W169">
        <f t="shared" si="101"/>
        <v>0</v>
      </c>
      <c r="X169">
        <f t="shared" si="102"/>
        <v>0</v>
      </c>
      <c r="Y169">
        <f t="shared" si="103"/>
        <v>0</v>
      </c>
      <c r="AA169">
        <v>65178645</v>
      </c>
      <c r="AB169">
        <f t="shared" si="104"/>
        <v>466.31</v>
      </c>
      <c r="AC169">
        <f t="shared" si="105"/>
        <v>466.31</v>
      </c>
      <c r="AD169">
        <f t="shared" si="106"/>
        <v>0</v>
      </c>
      <c r="AE169">
        <f t="shared" si="107"/>
        <v>0</v>
      </c>
      <c r="AF169">
        <f t="shared" si="108"/>
        <v>0</v>
      </c>
      <c r="AG169">
        <f t="shared" si="109"/>
        <v>0</v>
      </c>
      <c r="AH169">
        <f t="shared" si="110"/>
        <v>0</v>
      </c>
      <c r="AI169">
        <f t="shared" si="111"/>
        <v>0</v>
      </c>
      <c r="AJ169">
        <f t="shared" si="112"/>
        <v>0</v>
      </c>
      <c r="AK169">
        <v>466.31</v>
      </c>
      <c r="AL169">
        <v>466.31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0.94</v>
      </c>
      <c r="BD169" t="s">
        <v>3</v>
      </c>
      <c r="BE169" t="s">
        <v>3</v>
      </c>
      <c r="BF169" t="s">
        <v>3</v>
      </c>
      <c r="BG169" t="s">
        <v>3</v>
      </c>
      <c r="BH169">
        <v>3</v>
      </c>
      <c r="BI169">
        <v>1</v>
      </c>
      <c r="BJ169" t="s">
        <v>249</v>
      </c>
      <c r="BM169">
        <v>500001</v>
      </c>
      <c r="BN169">
        <v>0</v>
      </c>
      <c r="BO169" t="s">
        <v>247</v>
      </c>
      <c r="BP169">
        <v>1</v>
      </c>
      <c r="BQ169">
        <v>8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0</v>
      </c>
      <c r="CA169">
        <v>0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13"/>
        <v>385.73</v>
      </c>
      <c r="CQ169">
        <f t="shared" si="114"/>
        <v>438.33</v>
      </c>
      <c r="CR169">
        <f t="shared" si="115"/>
        <v>0</v>
      </c>
      <c r="CS169">
        <f t="shared" si="116"/>
        <v>0</v>
      </c>
      <c r="CT169">
        <f t="shared" si="117"/>
        <v>0</v>
      </c>
      <c r="CU169">
        <f t="shared" si="118"/>
        <v>0</v>
      </c>
      <c r="CV169">
        <f t="shared" si="119"/>
        <v>0</v>
      </c>
      <c r="CW169">
        <f t="shared" si="120"/>
        <v>0</v>
      </c>
      <c r="CX169">
        <f t="shared" si="121"/>
        <v>0</v>
      </c>
      <c r="CY169">
        <f>0</f>
        <v>0</v>
      </c>
      <c r="CZ169">
        <f>0</f>
        <v>0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1013</v>
      </c>
      <c r="DV169" t="s">
        <v>162</v>
      </c>
      <c r="DW169" t="s">
        <v>162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64850935</v>
      </c>
      <c r="EF169">
        <v>8</v>
      </c>
      <c r="EG169" t="s">
        <v>182</v>
      </c>
      <c r="EH169">
        <v>0</v>
      </c>
      <c r="EI169" t="s">
        <v>3</v>
      </c>
      <c r="EJ169">
        <v>1</v>
      </c>
      <c r="EK169">
        <v>500001</v>
      </c>
      <c r="EL169" t="s">
        <v>183</v>
      </c>
      <c r="EM169" t="s">
        <v>184</v>
      </c>
      <c r="EO169" t="s">
        <v>3</v>
      </c>
      <c r="EQ169">
        <v>0</v>
      </c>
      <c r="ER169">
        <v>466.31</v>
      </c>
      <c r="ES169">
        <v>466.31</v>
      </c>
      <c r="ET169">
        <v>0</v>
      </c>
      <c r="EU169">
        <v>0</v>
      </c>
      <c r="EV169">
        <v>0</v>
      </c>
      <c r="EW169">
        <v>0</v>
      </c>
      <c r="EX169">
        <v>0</v>
      </c>
      <c r="EY169">
        <v>0</v>
      </c>
      <c r="FQ169">
        <v>0</v>
      </c>
      <c r="FR169">
        <f t="shared" si="122"/>
        <v>0</v>
      </c>
      <c r="FS169">
        <v>0</v>
      </c>
      <c r="FX169">
        <v>0</v>
      </c>
      <c r="FY169">
        <v>0</v>
      </c>
      <c r="GA169" t="s">
        <v>3</v>
      </c>
      <c r="GD169">
        <v>1</v>
      </c>
      <c r="GF169">
        <v>1755409995</v>
      </c>
      <c r="GG169">
        <v>2</v>
      </c>
      <c r="GH169">
        <v>1</v>
      </c>
      <c r="GI169">
        <v>2</v>
      </c>
      <c r="GJ169">
        <v>0</v>
      </c>
      <c r="GK169">
        <v>0</v>
      </c>
      <c r="GL169">
        <f t="shared" si="123"/>
        <v>0</v>
      </c>
      <c r="GM169">
        <f t="shared" si="124"/>
        <v>385.73</v>
      </c>
      <c r="GN169">
        <f t="shared" si="125"/>
        <v>385.73</v>
      </c>
      <c r="GO169">
        <f t="shared" si="126"/>
        <v>0</v>
      </c>
      <c r="GP169">
        <f t="shared" si="127"/>
        <v>0</v>
      </c>
      <c r="GR169">
        <v>0</v>
      </c>
      <c r="GS169">
        <v>0</v>
      </c>
      <c r="GT169">
        <v>0</v>
      </c>
      <c r="GU169" t="s">
        <v>3</v>
      </c>
      <c r="GV169">
        <f t="shared" si="128"/>
        <v>0</v>
      </c>
      <c r="GW169">
        <v>1</v>
      </c>
      <c r="GX169">
        <f t="shared" si="129"/>
        <v>0</v>
      </c>
      <c r="HA169">
        <v>0</v>
      </c>
      <c r="HB169">
        <v>0</v>
      </c>
      <c r="HC169">
        <f t="shared" si="130"/>
        <v>0</v>
      </c>
      <c r="HE169" t="s">
        <v>3</v>
      </c>
      <c r="HF169" t="s">
        <v>3</v>
      </c>
      <c r="HM169" t="s">
        <v>3</v>
      </c>
      <c r="HN169" t="s">
        <v>3</v>
      </c>
      <c r="HO169" t="s">
        <v>3</v>
      </c>
      <c r="HP169" t="s">
        <v>3</v>
      </c>
      <c r="HQ169" t="s">
        <v>3</v>
      </c>
      <c r="IK169">
        <v>0</v>
      </c>
    </row>
    <row r="170" spans="1:245" x14ac:dyDescent="0.2">
      <c r="A170">
        <v>17</v>
      </c>
      <c r="B170">
        <v>1</v>
      </c>
      <c r="E170" t="s">
        <v>250</v>
      </c>
      <c r="F170" t="s">
        <v>251</v>
      </c>
      <c r="G170" t="s">
        <v>252</v>
      </c>
      <c r="H170" t="s">
        <v>253</v>
      </c>
      <c r="I170">
        <v>5</v>
      </c>
      <c r="J170">
        <v>0</v>
      </c>
      <c r="K170">
        <v>5</v>
      </c>
      <c r="O170">
        <f t="shared" si="93"/>
        <v>3516.05</v>
      </c>
      <c r="P170">
        <f t="shared" si="94"/>
        <v>3516.05</v>
      </c>
      <c r="Q170">
        <f t="shared" si="95"/>
        <v>0</v>
      </c>
      <c r="R170">
        <f t="shared" si="96"/>
        <v>0</v>
      </c>
      <c r="S170">
        <f t="shared" si="97"/>
        <v>0</v>
      </c>
      <c r="T170">
        <f t="shared" si="98"/>
        <v>0</v>
      </c>
      <c r="U170">
        <f t="shared" si="99"/>
        <v>0</v>
      </c>
      <c r="V170">
        <f t="shared" si="100"/>
        <v>0</v>
      </c>
      <c r="W170">
        <f t="shared" si="101"/>
        <v>0</v>
      </c>
      <c r="X170">
        <f t="shared" si="102"/>
        <v>0</v>
      </c>
      <c r="Y170">
        <f t="shared" si="103"/>
        <v>0</v>
      </c>
      <c r="AA170">
        <v>65178645</v>
      </c>
      <c r="AB170">
        <f t="shared" si="104"/>
        <v>376.05</v>
      </c>
      <c r="AC170">
        <f t="shared" si="105"/>
        <v>376.05</v>
      </c>
      <c r="AD170">
        <f t="shared" si="106"/>
        <v>0</v>
      </c>
      <c r="AE170">
        <f t="shared" si="107"/>
        <v>0</v>
      </c>
      <c r="AF170">
        <f t="shared" si="108"/>
        <v>0</v>
      </c>
      <c r="AG170">
        <f t="shared" si="109"/>
        <v>0</v>
      </c>
      <c r="AH170">
        <f t="shared" si="110"/>
        <v>0</v>
      </c>
      <c r="AI170">
        <f t="shared" si="111"/>
        <v>0</v>
      </c>
      <c r="AJ170">
        <f t="shared" si="112"/>
        <v>0</v>
      </c>
      <c r="AK170">
        <v>376.05</v>
      </c>
      <c r="AL170">
        <v>376.05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1.87</v>
      </c>
      <c r="BD170" t="s">
        <v>3</v>
      </c>
      <c r="BE170" t="s">
        <v>3</v>
      </c>
      <c r="BF170" t="s">
        <v>3</v>
      </c>
      <c r="BG170" t="s">
        <v>3</v>
      </c>
      <c r="BH170">
        <v>3</v>
      </c>
      <c r="BI170">
        <v>1</v>
      </c>
      <c r="BJ170" t="s">
        <v>254</v>
      </c>
      <c r="BM170">
        <v>500001</v>
      </c>
      <c r="BN170">
        <v>0</v>
      </c>
      <c r="BO170" t="s">
        <v>251</v>
      </c>
      <c r="BP170">
        <v>1</v>
      </c>
      <c r="BQ170">
        <v>8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0</v>
      </c>
      <c r="CA170">
        <v>0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si="113"/>
        <v>3516.05</v>
      </c>
      <c r="CQ170">
        <f t="shared" si="114"/>
        <v>703.21</v>
      </c>
      <c r="CR170">
        <f t="shared" si="115"/>
        <v>0</v>
      </c>
      <c r="CS170">
        <f t="shared" si="116"/>
        <v>0</v>
      </c>
      <c r="CT170">
        <f t="shared" si="117"/>
        <v>0</v>
      </c>
      <c r="CU170">
        <f t="shared" si="118"/>
        <v>0</v>
      </c>
      <c r="CV170">
        <f t="shared" si="119"/>
        <v>0</v>
      </c>
      <c r="CW170">
        <f t="shared" si="120"/>
        <v>0</v>
      </c>
      <c r="CX170">
        <f t="shared" si="121"/>
        <v>0</v>
      </c>
      <c r="CY170">
        <f>0</f>
        <v>0</v>
      </c>
      <c r="CZ170">
        <f>0</f>
        <v>0</v>
      </c>
      <c r="DC170" t="s">
        <v>3</v>
      </c>
      <c r="DD170" t="s">
        <v>3</v>
      </c>
      <c r="DE170" t="s">
        <v>3</v>
      </c>
      <c r="DF170" t="s">
        <v>3</v>
      </c>
      <c r="DG170" t="s">
        <v>3</v>
      </c>
      <c r="DH170" t="s">
        <v>3</v>
      </c>
      <c r="DI170" t="s">
        <v>3</v>
      </c>
      <c r="DJ170" t="s">
        <v>3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1009</v>
      </c>
      <c r="DV170" t="s">
        <v>253</v>
      </c>
      <c r="DW170" t="s">
        <v>253</v>
      </c>
      <c r="DX170">
        <v>1</v>
      </c>
      <c r="DZ170" t="s">
        <v>3</v>
      </c>
      <c r="EA170" t="s">
        <v>3</v>
      </c>
      <c r="EB170" t="s">
        <v>3</v>
      </c>
      <c r="EC170" t="s">
        <v>3</v>
      </c>
      <c r="EE170">
        <v>64850935</v>
      </c>
      <c r="EF170">
        <v>8</v>
      </c>
      <c r="EG170" t="s">
        <v>182</v>
      </c>
      <c r="EH170">
        <v>0</v>
      </c>
      <c r="EI170" t="s">
        <v>3</v>
      </c>
      <c r="EJ170">
        <v>1</v>
      </c>
      <c r="EK170">
        <v>500001</v>
      </c>
      <c r="EL170" t="s">
        <v>183</v>
      </c>
      <c r="EM170" t="s">
        <v>184</v>
      </c>
      <c r="EO170" t="s">
        <v>3</v>
      </c>
      <c r="EQ170">
        <v>0</v>
      </c>
      <c r="ER170">
        <v>376.05</v>
      </c>
      <c r="ES170">
        <v>376.05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FQ170">
        <v>0</v>
      </c>
      <c r="FR170">
        <f t="shared" si="122"/>
        <v>0</v>
      </c>
      <c r="FS170">
        <v>0</v>
      </c>
      <c r="FX170">
        <v>0</v>
      </c>
      <c r="FY170">
        <v>0</v>
      </c>
      <c r="GA170" t="s">
        <v>3</v>
      </c>
      <c r="GD170">
        <v>1</v>
      </c>
      <c r="GF170">
        <v>1068728598</v>
      </c>
      <c r="GG170">
        <v>2</v>
      </c>
      <c r="GH170">
        <v>1</v>
      </c>
      <c r="GI170">
        <v>2</v>
      </c>
      <c r="GJ170">
        <v>0</v>
      </c>
      <c r="GK170">
        <v>0</v>
      </c>
      <c r="GL170">
        <f t="shared" si="123"/>
        <v>0</v>
      </c>
      <c r="GM170">
        <f t="shared" si="124"/>
        <v>3516.05</v>
      </c>
      <c r="GN170">
        <f t="shared" si="125"/>
        <v>3516.05</v>
      </c>
      <c r="GO170">
        <f t="shared" si="126"/>
        <v>0</v>
      </c>
      <c r="GP170">
        <f t="shared" si="127"/>
        <v>0</v>
      </c>
      <c r="GR170">
        <v>0</v>
      </c>
      <c r="GS170">
        <v>0</v>
      </c>
      <c r="GT170">
        <v>0</v>
      </c>
      <c r="GU170" t="s">
        <v>3</v>
      </c>
      <c r="GV170">
        <f t="shared" si="128"/>
        <v>0</v>
      </c>
      <c r="GW170">
        <v>1</v>
      </c>
      <c r="GX170">
        <f t="shared" si="129"/>
        <v>0</v>
      </c>
      <c r="HA170">
        <v>0</v>
      </c>
      <c r="HB170">
        <v>0</v>
      </c>
      <c r="HC170">
        <f t="shared" si="130"/>
        <v>0</v>
      </c>
      <c r="HE170" t="s">
        <v>3</v>
      </c>
      <c r="HF170" t="s">
        <v>3</v>
      </c>
      <c r="HM170" t="s">
        <v>3</v>
      </c>
      <c r="HN170" t="s">
        <v>3</v>
      </c>
      <c r="HO170" t="s">
        <v>3</v>
      </c>
      <c r="HP170" t="s">
        <v>3</v>
      </c>
      <c r="HQ170" t="s">
        <v>3</v>
      </c>
      <c r="IK170">
        <v>0</v>
      </c>
    </row>
    <row r="172" spans="1:245" x14ac:dyDescent="0.2">
      <c r="A172" s="2">
        <v>51</v>
      </c>
      <c r="B172" s="2">
        <f>B150</f>
        <v>1</v>
      </c>
      <c r="C172" s="2">
        <f>A150</f>
        <v>4</v>
      </c>
      <c r="D172" s="2">
        <f>ROW(A150)</f>
        <v>150</v>
      </c>
      <c r="E172" s="2"/>
      <c r="F172" s="2" t="str">
        <f>IF(F150&lt;&gt;"",F150,"")</f>
        <v>Новый раздел</v>
      </c>
      <c r="G172" s="2" t="str">
        <f>IF(G150&lt;&gt;"",G150,"")</f>
        <v>Материалы не учтенные ценником</v>
      </c>
      <c r="H172" s="2">
        <v>0</v>
      </c>
      <c r="I172" s="2"/>
      <c r="J172" s="2"/>
      <c r="K172" s="2"/>
      <c r="L172" s="2"/>
      <c r="M172" s="2"/>
      <c r="N172" s="2"/>
      <c r="O172" s="2">
        <f t="shared" ref="O172:T172" si="131">ROUND(AB172,2)</f>
        <v>801833.24</v>
      </c>
      <c r="P172" s="2">
        <f t="shared" si="131"/>
        <v>801833.24</v>
      </c>
      <c r="Q172" s="2">
        <f t="shared" si="131"/>
        <v>0</v>
      </c>
      <c r="R172" s="2">
        <f t="shared" si="131"/>
        <v>0</v>
      </c>
      <c r="S172" s="2">
        <f t="shared" si="131"/>
        <v>0</v>
      </c>
      <c r="T172" s="2">
        <f t="shared" si="131"/>
        <v>0</v>
      </c>
      <c r="U172" s="2">
        <f>AH172</f>
        <v>0</v>
      </c>
      <c r="V172" s="2">
        <f>AI172</f>
        <v>0</v>
      </c>
      <c r="W172" s="2">
        <f>ROUND(AJ172,2)</f>
        <v>0</v>
      </c>
      <c r="X172" s="2">
        <f>ROUND(AK172,2)</f>
        <v>0</v>
      </c>
      <c r="Y172" s="2">
        <f>ROUND(AL172,2)</f>
        <v>0</v>
      </c>
      <c r="Z172" s="2"/>
      <c r="AA172" s="2"/>
      <c r="AB172" s="2">
        <f>ROUND(SUMIF(AA154:AA170,"=65178645",O154:O170),2)</f>
        <v>801833.24</v>
      </c>
      <c r="AC172" s="2">
        <f>ROUND(SUMIF(AA154:AA170,"=65178645",P154:P170),2)</f>
        <v>801833.24</v>
      </c>
      <c r="AD172" s="2">
        <f>ROUND(SUMIF(AA154:AA170,"=65178645",Q154:Q170),2)</f>
        <v>0</v>
      </c>
      <c r="AE172" s="2">
        <f>ROUND(SUMIF(AA154:AA170,"=65178645",R154:R170),2)</f>
        <v>0</v>
      </c>
      <c r="AF172" s="2">
        <f>ROUND(SUMIF(AA154:AA170,"=65178645",S154:S170),2)</f>
        <v>0</v>
      </c>
      <c r="AG172" s="2">
        <f>ROUND(SUMIF(AA154:AA170,"=65178645",T154:T170),2)</f>
        <v>0</v>
      </c>
      <c r="AH172" s="2">
        <f>SUMIF(AA154:AA170,"=65178645",U154:U170)</f>
        <v>0</v>
      </c>
      <c r="AI172" s="2">
        <f>SUMIF(AA154:AA170,"=65178645",V154:V170)</f>
        <v>0</v>
      </c>
      <c r="AJ172" s="2">
        <f>ROUND(SUMIF(AA154:AA170,"=65178645",W154:W170),2)</f>
        <v>0</v>
      </c>
      <c r="AK172" s="2">
        <f>ROUND(SUMIF(AA154:AA170,"=65178645",X154:X170),2)</f>
        <v>0</v>
      </c>
      <c r="AL172" s="2">
        <f>ROUND(SUMIF(AA154:AA170,"=65178645",Y154:Y170),2)</f>
        <v>0</v>
      </c>
      <c r="AM172" s="2"/>
      <c r="AN172" s="2"/>
      <c r="AO172" s="2">
        <f t="shared" ref="AO172:BD172" si="132">ROUND(BX172,2)</f>
        <v>17632.439999999999</v>
      </c>
      <c r="AP172" s="2">
        <f t="shared" si="132"/>
        <v>0</v>
      </c>
      <c r="AQ172" s="2">
        <f t="shared" si="132"/>
        <v>0</v>
      </c>
      <c r="AR172" s="2">
        <f t="shared" si="132"/>
        <v>801833.24</v>
      </c>
      <c r="AS172" s="2">
        <f t="shared" si="132"/>
        <v>367160.35</v>
      </c>
      <c r="AT172" s="2">
        <f t="shared" si="132"/>
        <v>434672.89</v>
      </c>
      <c r="AU172" s="2">
        <f t="shared" si="132"/>
        <v>0</v>
      </c>
      <c r="AV172" s="2">
        <f t="shared" si="132"/>
        <v>784200.8</v>
      </c>
      <c r="AW172" s="2">
        <f t="shared" si="132"/>
        <v>801833.24</v>
      </c>
      <c r="AX172" s="2">
        <f t="shared" si="132"/>
        <v>17632.439999999999</v>
      </c>
      <c r="AY172" s="2">
        <f t="shared" si="132"/>
        <v>784200.8</v>
      </c>
      <c r="AZ172" s="2">
        <f t="shared" si="132"/>
        <v>0</v>
      </c>
      <c r="BA172" s="2">
        <f t="shared" si="132"/>
        <v>0</v>
      </c>
      <c r="BB172" s="2">
        <f t="shared" si="132"/>
        <v>0</v>
      </c>
      <c r="BC172" s="2">
        <f t="shared" si="132"/>
        <v>0</v>
      </c>
      <c r="BD172" s="2">
        <f t="shared" si="132"/>
        <v>0</v>
      </c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>
        <f>ROUND(SUMIF(AA154:AA170,"=65178645",FQ154:FQ170),2)</f>
        <v>17632.439999999999</v>
      </c>
      <c r="BY172" s="2">
        <f>ROUND(SUMIF(AA154:AA170,"=65178645",FR154:FR170),2)</f>
        <v>0</v>
      </c>
      <c r="BZ172" s="2">
        <f>ROUND(SUMIF(AA154:AA170,"=65178645",GL154:GL170),2)</f>
        <v>0</v>
      </c>
      <c r="CA172" s="2">
        <f>ROUND(SUMIF(AA154:AA170,"=65178645",GM154:GM170),2)</f>
        <v>801833.24</v>
      </c>
      <c r="CB172" s="2">
        <f>ROUND(SUMIF(AA154:AA170,"=65178645",GN154:GN170),2)</f>
        <v>367160.35</v>
      </c>
      <c r="CC172" s="2">
        <f>ROUND(SUMIF(AA154:AA170,"=65178645",GO154:GO170),2)</f>
        <v>434672.89</v>
      </c>
      <c r="CD172" s="2">
        <f>ROUND(SUMIF(AA154:AA170,"=65178645",GP154:GP170),2)</f>
        <v>0</v>
      </c>
      <c r="CE172" s="2">
        <f>AC172-BX172</f>
        <v>784200.8</v>
      </c>
      <c r="CF172" s="2">
        <f>AC172-BY172</f>
        <v>801833.24</v>
      </c>
      <c r="CG172" s="2">
        <f>BX172-BZ172</f>
        <v>17632.439999999999</v>
      </c>
      <c r="CH172" s="2">
        <f>AC172-BX172-BY172+BZ172</f>
        <v>784200.8</v>
      </c>
      <c r="CI172" s="2">
        <f>BY172-BZ172</f>
        <v>0</v>
      </c>
      <c r="CJ172" s="2">
        <f>ROUND(SUMIF(AA154:AA170,"=65178645",GX154:GX170),2)</f>
        <v>0</v>
      </c>
      <c r="CK172" s="2">
        <f>ROUND(SUMIF(AA154:AA170,"=65178645",GY154:GY170),2)</f>
        <v>0</v>
      </c>
      <c r="CL172" s="2">
        <f>ROUND(SUMIF(AA154:AA170,"=65178645",GZ154:GZ170),2)</f>
        <v>0</v>
      </c>
      <c r="CM172" s="2">
        <f>ROUND(SUMIF(AA154:AA170,"=65178645",HD154:HD170),2)</f>
        <v>0</v>
      </c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>
        <v>0</v>
      </c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201</v>
      </c>
      <c r="F174" s="4">
        <f>ROUND(Source!O172,O174)</f>
        <v>801833.24</v>
      </c>
      <c r="G174" s="4" t="s">
        <v>17</v>
      </c>
      <c r="H174" s="4" t="s">
        <v>18</v>
      </c>
      <c r="I174" s="4"/>
      <c r="J174" s="4"/>
      <c r="K174" s="4">
        <v>201</v>
      </c>
      <c r="L174" s="4">
        <v>1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801833.24</v>
      </c>
      <c r="X174" s="4">
        <v>1</v>
      </c>
      <c r="Y174" s="4">
        <v>801833.24</v>
      </c>
      <c r="Z174" s="4"/>
      <c r="AA174" s="4"/>
      <c r="AB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202</v>
      </c>
      <c r="F175" s="4">
        <f>ROUND(Source!P172,O175)</f>
        <v>801833.24</v>
      </c>
      <c r="G175" s="4" t="s">
        <v>19</v>
      </c>
      <c r="H175" s="4" t="s">
        <v>20</v>
      </c>
      <c r="I175" s="4"/>
      <c r="J175" s="4"/>
      <c r="K175" s="4">
        <v>202</v>
      </c>
      <c r="L175" s="4">
        <v>2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801833.24</v>
      </c>
      <c r="X175" s="4">
        <v>1</v>
      </c>
      <c r="Y175" s="4">
        <v>801833.24</v>
      </c>
      <c r="Z175" s="4"/>
      <c r="AA175" s="4"/>
      <c r="AB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222</v>
      </c>
      <c r="F176" s="4">
        <f>ROUND(Source!AO172,O176)</f>
        <v>17632.439999999999</v>
      </c>
      <c r="G176" s="4" t="s">
        <v>21</v>
      </c>
      <c r="H176" s="4" t="s">
        <v>22</v>
      </c>
      <c r="I176" s="4"/>
      <c r="J176" s="4"/>
      <c r="K176" s="4">
        <v>222</v>
      </c>
      <c r="L176" s="4">
        <v>3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17632.439999999999</v>
      </c>
      <c r="X176" s="4">
        <v>1</v>
      </c>
      <c r="Y176" s="4">
        <v>17632.439999999999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225</v>
      </c>
      <c r="F177" s="4">
        <f>ROUND(Source!AV172,O177)</f>
        <v>784200.8</v>
      </c>
      <c r="G177" s="4" t="s">
        <v>23</v>
      </c>
      <c r="H177" s="4" t="s">
        <v>24</v>
      </c>
      <c r="I177" s="4"/>
      <c r="J177" s="4"/>
      <c r="K177" s="4">
        <v>225</v>
      </c>
      <c r="L177" s="4">
        <v>4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801833.24</v>
      </c>
      <c r="X177" s="4">
        <v>1</v>
      </c>
      <c r="Y177" s="4">
        <v>801833.24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226</v>
      </c>
      <c r="F178" s="4">
        <f>ROUND(Source!AW172,O178)</f>
        <v>801833.24</v>
      </c>
      <c r="G178" s="4" t="s">
        <v>25</v>
      </c>
      <c r="H178" s="4" t="s">
        <v>26</v>
      </c>
      <c r="I178" s="4"/>
      <c r="J178" s="4"/>
      <c r="K178" s="4">
        <v>226</v>
      </c>
      <c r="L178" s="4">
        <v>5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801833.24</v>
      </c>
      <c r="X178" s="4">
        <v>1</v>
      </c>
      <c r="Y178" s="4">
        <v>801833.24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227</v>
      </c>
      <c r="F179" s="4">
        <f>ROUND(Source!AX172,O179)</f>
        <v>17632.439999999999</v>
      </c>
      <c r="G179" s="4" t="s">
        <v>27</v>
      </c>
      <c r="H179" s="4" t="s">
        <v>28</v>
      </c>
      <c r="I179" s="4"/>
      <c r="J179" s="4"/>
      <c r="K179" s="4">
        <v>227</v>
      </c>
      <c r="L179" s="4">
        <v>6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228</v>
      </c>
      <c r="F180" s="4">
        <f>ROUND(Source!AY172,O180)</f>
        <v>784200.8</v>
      </c>
      <c r="G180" s="4" t="s">
        <v>29</v>
      </c>
      <c r="H180" s="4" t="s">
        <v>30</v>
      </c>
      <c r="I180" s="4"/>
      <c r="J180" s="4"/>
      <c r="K180" s="4">
        <v>228</v>
      </c>
      <c r="L180" s="4">
        <v>7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801833.24</v>
      </c>
      <c r="X180" s="4">
        <v>1</v>
      </c>
      <c r="Y180" s="4">
        <v>801833.24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216</v>
      </c>
      <c r="F181" s="4">
        <f>ROUND(Source!AP172,O181)</f>
        <v>0</v>
      </c>
      <c r="G181" s="4" t="s">
        <v>31</v>
      </c>
      <c r="H181" s="4" t="s">
        <v>32</v>
      </c>
      <c r="I181" s="4"/>
      <c r="J181" s="4"/>
      <c r="K181" s="4">
        <v>216</v>
      </c>
      <c r="L181" s="4">
        <v>8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223</v>
      </c>
      <c r="F182" s="4">
        <f>ROUND(Source!AQ172,O182)</f>
        <v>0</v>
      </c>
      <c r="G182" s="4" t="s">
        <v>33</v>
      </c>
      <c r="H182" s="4" t="s">
        <v>34</v>
      </c>
      <c r="I182" s="4"/>
      <c r="J182" s="4"/>
      <c r="K182" s="4">
        <v>223</v>
      </c>
      <c r="L182" s="4">
        <v>9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229</v>
      </c>
      <c r="F183" s="4">
        <f>ROUND(Source!AZ172,O183)</f>
        <v>0</v>
      </c>
      <c r="G183" s="4" t="s">
        <v>35</v>
      </c>
      <c r="H183" s="4" t="s">
        <v>36</v>
      </c>
      <c r="I183" s="4"/>
      <c r="J183" s="4"/>
      <c r="K183" s="4">
        <v>229</v>
      </c>
      <c r="L183" s="4">
        <v>10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203</v>
      </c>
      <c r="F184" s="4">
        <f>ROUND(Source!Q172,O184)</f>
        <v>0</v>
      </c>
      <c r="G184" s="4" t="s">
        <v>37</v>
      </c>
      <c r="H184" s="4" t="s">
        <v>38</v>
      </c>
      <c r="I184" s="4"/>
      <c r="J184" s="4"/>
      <c r="K184" s="4">
        <v>203</v>
      </c>
      <c r="L184" s="4">
        <v>11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231</v>
      </c>
      <c r="F185" s="4">
        <f>ROUND(Source!BB172,O185)</f>
        <v>0</v>
      </c>
      <c r="G185" s="4" t="s">
        <v>39</v>
      </c>
      <c r="H185" s="4" t="s">
        <v>40</v>
      </c>
      <c r="I185" s="4"/>
      <c r="J185" s="4"/>
      <c r="K185" s="4">
        <v>231</v>
      </c>
      <c r="L185" s="4">
        <v>12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204</v>
      </c>
      <c r="F186" s="4">
        <f>ROUND(Source!R172,O186)</f>
        <v>0</v>
      </c>
      <c r="G186" s="4" t="s">
        <v>41</v>
      </c>
      <c r="H186" s="4" t="s">
        <v>42</v>
      </c>
      <c r="I186" s="4"/>
      <c r="J186" s="4"/>
      <c r="K186" s="4">
        <v>204</v>
      </c>
      <c r="L186" s="4">
        <v>13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205</v>
      </c>
      <c r="F187" s="4">
        <f>ROUND(Source!S172,O187)</f>
        <v>0</v>
      </c>
      <c r="G187" s="4" t="s">
        <v>43</v>
      </c>
      <c r="H187" s="4" t="s">
        <v>44</v>
      </c>
      <c r="I187" s="4"/>
      <c r="J187" s="4"/>
      <c r="K187" s="4">
        <v>205</v>
      </c>
      <c r="L187" s="4">
        <v>14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232</v>
      </c>
      <c r="F188" s="4">
        <f>ROUND(Source!BC172,O188)</f>
        <v>0</v>
      </c>
      <c r="G188" s="4" t="s">
        <v>45</v>
      </c>
      <c r="H188" s="4" t="s">
        <v>46</v>
      </c>
      <c r="I188" s="4"/>
      <c r="J188" s="4"/>
      <c r="K188" s="4">
        <v>232</v>
      </c>
      <c r="L188" s="4">
        <v>15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214</v>
      </c>
      <c r="F189" s="4">
        <f>ROUND(Source!AS172,O189)</f>
        <v>367160.35</v>
      </c>
      <c r="G189" s="4" t="s">
        <v>47</v>
      </c>
      <c r="H189" s="4" t="s">
        <v>48</v>
      </c>
      <c r="I189" s="4"/>
      <c r="J189" s="4"/>
      <c r="K189" s="4">
        <v>214</v>
      </c>
      <c r="L189" s="4">
        <v>16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367160.35</v>
      </c>
      <c r="X189" s="4">
        <v>1</v>
      </c>
      <c r="Y189" s="4">
        <v>367160.35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215</v>
      </c>
      <c r="F190" s="4">
        <f>ROUND(Source!AT172,O190)</f>
        <v>434672.89</v>
      </c>
      <c r="G190" s="4" t="s">
        <v>49</v>
      </c>
      <c r="H190" s="4" t="s">
        <v>50</v>
      </c>
      <c r="I190" s="4"/>
      <c r="J190" s="4"/>
      <c r="K190" s="4">
        <v>215</v>
      </c>
      <c r="L190" s="4">
        <v>17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434672.89</v>
      </c>
      <c r="X190" s="4">
        <v>1</v>
      </c>
      <c r="Y190" s="4">
        <v>434672.89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217</v>
      </c>
      <c r="F191" s="4">
        <f>ROUND(Source!AU172,O191)</f>
        <v>0</v>
      </c>
      <c r="G191" s="4" t="s">
        <v>51</v>
      </c>
      <c r="H191" s="4" t="s">
        <v>52</v>
      </c>
      <c r="I191" s="4"/>
      <c r="J191" s="4"/>
      <c r="K191" s="4">
        <v>217</v>
      </c>
      <c r="L191" s="4">
        <v>18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230</v>
      </c>
      <c r="F192" s="4">
        <f>ROUND(Source!BA172,O192)</f>
        <v>0</v>
      </c>
      <c r="G192" s="4" t="s">
        <v>53</v>
      </c>
      <c r="H192" s="4" t="s">
        <v>54</v>
      </c>
      <c r="I192" s="4"/>
      <c r="J192" s="4"/>
      <c r="K192" s="4">
        <v>230</v>
      </c>
      <c r="L192" s="4">
        <v>19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45" x14ac:dyDescent="0.2">
      <c r="A193" s="4">
        <v>50</v>
      </c>
      <c r="B193" s="4">
        <v>0</v>
      </c>
      <c r="C193" s="4">
        <v>0</v>
      </c>
      <c r="D193" s="4">
        <v>1</v>
      </c>
      <c r="E193" s="4">
        <v>206</v>
      </c>
      <c r="F193" s="4">
        <f>ROUND(Source!T172,O193)</f>
        <v>0</v>
      </c>
      <c r="G193" s="4" t="s">
        <v>55</v>
      </c>
      <c r="H193" s="4" t="s">
        <v>56</v>
      </c>
      <c r="I193" s="4"/>
      <c r="J193" s="4"/>
      <c r="K193" s="4">
        <v>206</v>
      </c>
      <c r="L193" s="4">
        <v>20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45" x14ac:dyDescent="0.2">
      <c r="A194" s="4">
        <v>50</v>
      </c>
      <c r="B194" s="4">
        <v>0</v>
      </c>
      <c r="C194" s="4">
        <v>0</v>
      </c>
      <c r="D194" s="4">
        <v>1</v>
      </c>
      <c r="E194" s="4">
        <v>207</v>
      </c>
      <c r="F194" s="4">
        <f>ROUND(Source!U172,O194)</f>
        <v>0</v>
      </c>
      <c r="G194" s="4" t="s">
        <v>57</v>
      </c>
      <c r="H194" s="4" t="s">
        <v>58</v>
      </c>
      <c r="I194" s="4"/>
      <c r="J194" s="4"/>
      <c r="K194" s="4">
        <v>207</v>
      </c>
      <c r="L194" s="4">
        <v>21</v>
      </c>
      <c r="M194" s="4">
        <v>3</v>
      </c>
      <c r="N194" s="4" t="s">
        <v>3</v>
      </c>
      <c r="O194" s="4">
        <v>7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45" x14ac:dyDescent="0.2">
      <c r="A195" s="4">
        <v>50</v>
      </c>
      <c r="B195" s="4">
        <v>0</v>
      </c>
      <c r="C195" s="4">
        <v>0</v>
      </c>
      <c r="D195" s="4">
        <v>1</v>
      </c>
      <c r="E195" s="4">
        <v>208</v>
      </c>
      <c r="F195" s="4">
        <f>ROUND(Source!V172,O195)</f>
        <v>0</v>
      </c>
      <c r="G195" s="4" t="s">
        <v>59</v>
      </c>
      <c r="H195" s="4" t="s">
        <v>60</v>
      </c>
      <c r="I195" s="4"/>
      <c r="J195" s="4"/>
      <c r="K195" s="4">
        <v>208</v>
      </c>
      <c r="L195" s="4">
        <v>22</v>
      </c>
      <c r="M195" s="4">
        <v>3</v>
      </c>
      <c r="N195" s="4" t="s">
        <v>3</v>
      </c>
      <c r="O195" s="4">
        <v>7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45" x14ac:dyDescent="0.2">
      <c r="A196" s="4">
        <v>50</v>
      </c>
      <c r="B196" s="4">
        <v>0</v>
      </c>
      <c r="C196" s="4">
        <v>0</v>
      </c>
      <c r="D196" s="4">
        <v>1</v>
      </c>
      <c r="E196" s="4">
        <v>209</v>
      </c>
      <c r="F196" s="4">
        <f>ROUND(Source!W172,O196)</f>
        <v>0</v>
      </c>
      <c r="G196" s="4" t="s">
        <v>61</v>
      </c>
      <c r="H196" s="4" t="s">
        <v>62</v>
      </c>
      <c r="I196" s="4"/>
      <c r="J196" s="4"/>
      <c r="K196" s="4">
        <v>209</v>
      </c>
      <c r="L196" s="4">
        <v>23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45" x14ac:dyDescent="0.2">
      <c r="A197" s="4">
        <v>50</v>
      </c>
      <c r="B197" s="4">
        <v>0</v>
      </c>
      <c r="C197" s="4">
        <v>0</v>
      </c>
      <c r="D197" s="4">
        <v>1</v>
      </c>
      <c r="E197" s="4">
        <v>233</v>
      </c>
      <c r="F197" s="4">
        <f>ROUND(Source!BD172,O197)</f>
        <v>0</v>
      </c>
      <c r="G197" s="4" t="s">
        <v>63</v>
      </c>
      <c r="H197" s="4" t="s">
        <v>64</v>
      </c>
      <c r="I197" s="4"/>
      <c r="J197" s="4"/>
      <c r="K197" s="4">
        <v>233</v>
      </c>
      <c r="L197" s="4">
        <v>24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45" x14ac:dyDescent="0.2">
      <c r="A198" s="4">
        <v>50</v>
      </c>
      <c r="B198" s="4">
        <v>0</v>
      </c>
      <c r="C198" s="4">
        <v>0</v>
      </c>
      <c r="D198" s="4">
        <v>1</v>
      </c>
      <c r="E198" s="4">
        <v>210</v>
      </c>
      <c r="F198" s="4">
        <f>ROUND(Source!X172,O198)</f>
        <v>0</v>
      </c>
      <c r="G198" s="4" t="s">
        <v>65</v>
      </c>
      <c r="H198" s="4" t="s">
        <v>66</v>
      </c>
      <c r="I198" s="4"/>
      <c r="J198" s="4"/>
      <c r="K198" s="4">
        <v>210</v>
      </c>
      <c r="L198" s="4">
        <v>25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45" x14ac:dyDescent="0.2">
      <c r="A199" s="4">
        <v>50</v>
      </c>
      <c r="B199" s="4">
        <v>0</v>
      </c>
      <c r="C199" s="4">
        <v>0</v>
      </c>
      <c r="D199" s="4">
        <v>1</v>
      </c>
      <c r="E199" s="4">
        <v>211</v>
      </c>
      <c r="F199" s="4">
        <f>ROUND(Source!Y172,O199)</f>
        <v>0</v>
      </c>
      <c r="G199" s="4" t="s">
        <v>67</v>
      </c>
      <c r="H199" s="4" t="s">
        <v>68</v>
      </c>
      <c r="I199" s="4"/>
      <c r="J199" s="4"/>
      <c r="K199" s="4">
        <v>211</v>
      </c>
      <c r="L199" s="4">
        <v>26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45" x14ac:dyDescent="0.2">
      <c r="A200" s="4">
        <v>50</v>
      </c>
      <c r="B200" s="4">
        <v>0</v>
      </c>
      <c r="C200" s="4">
        <v>0</v>
      </c>
      <c r="D200" s="4">
        <v>1</v>
      </c>
      <c r="E200" s="4">
        <v>224</v>
      </c>
      <c r="F200" s="4">
        <f>ROUND(Source!AR172,O200)</f>
        <v>801833.24</v>
      </c>
      <c r="G200" s="4" t="s">
        <v>69</v>
      </c>
      <c r="H200" s="4" t="s">
        <v>70</v>
      </c>
      <c r="I200" s="4"/>
      <c r="J200" s="4"/>
      <c r="K200" s="4">
        <v>224</v>
      </c>
      <c r="L200" s="4">
        <v>27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801833.24</v>
      </c>
      <c r="X200" s="4">
        <v>1</v>
      </c>
      <c r="Y200" s="4">
        <v>801833.24</v>
      </c>
      <c r="Z200" s="4"/>
      <c r="AA200" s="4"/>
      <c r="AB200" s="4"/>
    </row>
    <row r="202" spans="1:245" x14ac:dyDescent="0.2">
      <c r="A202" s="1">
        <v>4</v>
      </c>
      <c r="B202" s="1">
        <v>1</v>
      </c>
      <c r="C202" s="1"/>
      <c r="D202" s="1">
        <f>ROW(A213)</f>
        <v>213</v>
      </c>
      <c r="E202" s="1"/>
      <c r="F202" s="1" t="s">
        <v>72</v>
      </c>
      <c r="G202" s="1" t="s">
        <v>255</v>
      </c>
      <c r="H202" s="1" t="s">
        <v>3</v>
      </c>
      <c r="I202" s="1">
        <v>0</v>
      </c>
      <c r="J202" s="1"/>
      <c r="K202" s="1">
        <v>0</v>
      </c>
      <c r="L202" s="1"/>
      <c r="M202" s="1" t="s">
        <v>3</v>
      </c>
      <c r="N202" s="1"/>
      <c r="O202" s="1"/>
      <c r="P202" s="1"/>
      <c r="Q202" s="1"/>
      <c r="R202" s="1"/>
      <c r="S202" s="1">
        <v>0</v>
      </c>
      <c r="T202" s="1"/>
      <c r="U202" s="1" t="s">
        <v>3</v>
      </c>
      <c r="V202" s="1">
        <v>0</v>
      </c>
      <c r="W202" s="1"/>
      <c r="X202" s="1"/>
      <c r="Y202" s="1"/>
      <c r="Z202" s="1"/>
      <c r="AA202" s="1"/>
      <c r="AB202" s="1" t="s">
        <v>3</v>
      </c>
      <c r="AC202" s="1" t="s">
        <v>3</v>
      </c>
      <c r="AD202" s="1" t="s">
        <v>3</v>
      </c>
      <c r="AE202" s="1" t="s">
        <v>3</v>
      </c>
      <c r="AF202" s="1" t="s">
        <v>3</v>
      </c>
      <c r="AG202" s="1" t="s">
        <v>3</v>
      </c>
      <c r="AH202" s="1"/>
      <c r="AI202" s="1"/>
      <c r="AJ202" s="1"/>
      <c r="AK202" s="1"/>
      <c r="AL202" s="1"/>
      <c r="AM202" s="1"/>
      <c r="AN202" s="1"/>
      <c r="AO202" s="1"/>
      <c r="AP202" s="1" t="s">
        <v>3</v>
      </c>
      <c r="AQ202" s="1" t="s">
        <v>3</v>
      </c>
      <c r="AR202" s="1" t="s">
        <v>3</v>
      </c>
      <c r="AS202" s="1"/>
      <c r="AT202" s="1"/>
      <c r="AU202" s="1"/>
      <c r="AV202" s="1"/>
      <c r="AW202" s="1"/>
      <c r="AX202" s="1"/>
      <c r="AY202" s="1"/>
      <c r="AZ202" s="1" t="s">
        <v>3</v>
      </c>
      <c r="BA202" s="1"/>
      <c r="BB202" s="1" t="s">
        <v>3</v>
      </c>
      <c r="BC202" s="1" t="s">
        <v>3</v>
      </c>
      <c r="BD202" s="1" t="s">
        <v>3</v>
      </c>
      <c r="BE202" s="1" t="s">
        <v>3</v>
      </c>
      <c r="BF202" s="1" t="s">
        <v>3</v>
      </c>
      <c r="BG202" s="1" t="s">
        <v>3</v>
      </c>
      <c r="BH202" s="1" t="s">
        <v>3</v>
      </c>
      <c r="BI202" s="1" t="s">
        <v>3</v>
      </c>
      <c r="BJ202" s="1" t="s">
        <v>3</v>
      </c>
      <c r="BK202" s="1" t="s">
        <v>3</v>
      </c>
      <c r="BL202" s="1" t="s">
        <v>3</v>
      </c>
      <c r="BM202" s="1" t="s">
        <v>3</v>
      </c>
      <c r="BN202" s="1" t="s">
        <v>3</v>
      </c>
      <c r="BO202" s="1" t="s">
        <v>3</v>
      </c>
      <c r="BP202" s="1" t="s">
        <v>3</v>
      </c>
      <c r="BQ202" s="1"/>
      <c r="BR202" s="1"/>
      <c r="BS202" s="1"/>
      <c r="BT202" s="1"/>
      <c r="BU202" s="1"/>
      <c r="BV202" s="1"/>
      <c r="BW202" s="1"/>
      <c r="BX202" s="1">
        <v>0</v>
      </c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>
        <v>0</v>
      </c>
    </row>
    <row r="204" spans="1:245" x14ac:dyDescent="0.2">
      <c r="A204" s="2">
        <v>52</v>
      </c>
      <c r="B204" s="2">
        <f t="shared" ref="B204:G204" si="133">B213</f>
        <v>1</v>
      </c>
      <c r="C204" s="2">
        <f t="shared" si="133"/>
        <v>4</v>
      </c>
      <c r="D204" s="2">
        <f t="shared" si="133"/>
        <v>202</v>
      </c>
      <c r="E204" s="2">
        <f t="shared" si="133"/>
        <v>0</v>
      </c>
      <c r="F204" s="2" t="str">
        <f t="shared" si="133"/>
        <v>Новый раздел</v>
      </c>
      <c r="G204" s="2" t="str">
        <f t="shared" si="133"/>
        <v>Пусконаладочные работы</v>
      </c>
      <c r="H204" s="2"/>
      <c r="I204" s="2"/>
      <c r="J204" s="2"/>
      <c r="K204" s="2"/>
      <c r="L204" s="2"/>
      <c r="M204" s="2"/>
      <c r="N204" s="2"/>
      <c r="O204" s="2">
        <f t="shared" ref="O204:AT204" si="134">O213</f>
        <v>52778.080000000002</v>
      </c>
      <c r="P204" s="2">
        <f t="shared" si="134"/>
        <v>0</v>
      </c>
      <c r="Q204" s="2">
        <f t="shared" si="134"/>
        <v>0</v>
      </c>
      <c r="R204" s="2">
        <f t="shared" si="134"/>
        <v>0</v>
      </c>
      <c r="S204" s="2">
        <f t="shared" si="134"/>
        <v>52778.080000000002</v>
      </c>
      <c r="T204" s="2">
        <f t="shared" si="134"/>
        <v>0</v>
      </c>
      <c r="U204" s="2">
        <f t="shared" si="134"/>
        <v>80.995199999999997</v>
      </c>
      <c r="V204" s="2">
        <f t="shared" si="134"/>
        <v>0</v>
      </c>
      <c r="W204" s="2">
        <f t="shared" si="134"/>
        <v>0</v>
      </c>
      <c r="X204" s="2">
        <f t="shared" si="134"/>
        <v>39055.79</v>
      </c>
      <c r="Y204" s="2">
        <f t="shared" si="134"/>
        <v>19000.099999999999</v>
      </c>
      <c r="Z204" s="2">
        <f t="shared" si="134"/>
        <v>0</v>
      </c>
      <c r="AA204" s="2">
        <f t="shared" si="134"/>
        <v>0</v>
      </c>
      <c r="AB204" s="2">
        <f t="shared" si="134"/>
        <v>52778.080000000002</v>
      </c>
      <c r="AC204" s="2">
        <f t="shared" si="134"/>
        <v>0</v>
      </c>
      <c r="AD204" s="2">
        <f t="shared" si="134"/>
        <v>0</v>
      </c>
      <c r="AE204" s="2">
        <f t="shared" si="134"/>
        <v>0</v>
      </c>
      <c r="AF204" s="2">
        <f t="shared" si="134"/>
        <v>52778.080000000002</v>
      </c>
      <c r="AG204" s="2">
        <f t="shared" si="134"/>
        <v>0</v>
      </c>
      <c r="AH204" s="2">
        <f t="shared" si="134"/>
        <v>80.995199999999997</v>
      </c>
      <c r="AI204" s="2">
        <f t="shared" si="134"/>
        <v>0</v>
      </c>
      <c r="AJ204" s="2">
        <f t="shared" si="134"/>
        <v>0</v>
      </c>
      <c r="AK204" s="2">
        <f t="shared" si="134"/>
        <v>39055.79</v>
      </c>
      <c r="AL204" s="2">
        <f t="shared" si="134"/>
        <v>19000.099999999999</v>
      </c>
      <c r="AM204" s="2">
        <f t="shared" si="134"/>
        <v>0</v>
      </c>
      <c r="AN204" s="2">
        <f t="shared" si="134"/>
        <v>0</v>
      </c>
      <c r="AO204" s="2">
        <f t="shared" si="134"/>
        <v>0</v>
      </c>
      <c r="AP204" s="2">
        <f t="shared" si="134"/>
        <v>0</v>
      </c>
      <c r="AQ204" s="2">
        <f t="shared" si="134"/>
        <v>0</v>
      </c>
      <c r="AR204" s="2">
        <f t="shared" si="134"/>
        <v>110833.97</v>
      </c>
      <c r="AS204" s="2">
        <f t="shared" si="134"/>
        <v>0</v>
      </c>
      <c r="AT204" s="2">
        <f t="shared" si="134"/>
        <v>0</v>
      </c>
      <c r="AU204" s="2">
        <f t="shared" ref="AU204:BZ204" si="135">AU213</f>
        <v>110833.97</v>
      </c>
      <c r="AV204" s="2">
        <f t="shared" si="135"/>
        <v>0</v>
      </c>
      <c r="AW204" s="2">
        <f t="shared" si="135"/>
        <v>0</v>
      </c>
      <c r="AX204" s="2">
        <f t="shared" si="135"/>
        <v>0</v>
      </c>
      <c r="AY204" s="2">
        <f t="shared" si="135"/>
        <v>0</v>
      </c>
      <c r="AZ204" s="2">
        <f t="shared" si="135"/>
        <v>0</v>
      </c>
      <c r="BA204" s="2">
        <f t="shared" si="135"/>
        <v>0</v>
      </c>
      <c r="BB204" s="2">
        <f t="shared" si="135"/>
        <v>0</v>
      </c>
      <c r="BC204" s="2">
        <f t="shared" si="135"/>
        <v>0</v>
      </c>
      <c r="BD204" s="2">
        <f t="shared" si="135"/>
        <v>0</v>
      </c>
      <c r="BE204" s="2">
        <f t="shared" si="135"/>
        <v>0</v>
      </c>
      <c r="BF204" s="2">
        <f t="shared" si="135"/>
        <v>0</v>
      </c>
      <c r="BG204" s="2">
        <f t="shared" si="135"/>
        <v>0</v>
      </c>
      <c r="BH204" s="2">
        <f t="shared" si="135"/>
        <v>0</v>
      </c>
      <c r="BI204" s="2">
        <f t="shared" si="135"/>
        <v>0</v>
      </c>
      <c r="BJ204" s="2">
        <f t="shared" si="135"/>
        <v>0</v>
      </c>
      <c r="BK204" s="2">
        <f t="shared" si="135"/>
        <v>0</v>
      </c>
      <c r="BL204" s="2">
        <f t="shared" si="135"/>
        <v>0</v>
      </c>
      <c r="BM204" s="2">
        <f t="shared" si="135"/>
        <v>0</v>
      </c>
      <c r="BN204" s="2">
        <f t="shared" si="135"/>
        <v>0</v>
      </c>
      <c r="BO204" s="2">
        <f t="shared" si="135"/>
        <v>0</v>
      </c>
      <c r="BP204" s="2">
        <f t="shared" si="135"/>
        <v>0</v>
      </c>
      <c r="BQ204" s="2">
        <f t="shared" si="135"/>
        <v>0</v>
      </c>
      <c r="BR204" s="2">
        <f t="shared" si="135"/>
        <v>0</v>
      </c>
      <c r="BS204" s="2">
        <f t="shared" si="135"/>
        <v>0</v>
      </c>
      <c r="BT204" s="2">
        <f t="shared" si="135"/>
        <v>0</v>
      </c>
      <c r="BU204" s="2">
        <f t="shared" si="135"/>
        <v>0</v>
      </c>
      <c r="BV204" s="2">
        <f t="shared" si="135"/>
        <v>0</v>
      </c>
      <c r="BW204" s="2">
        <f t="shared" si="135"/>
        <v>0</v>
      </c>
      <c r="BX204" s="2">
        <f t="shared" si="135"/>
        <v>0</v>
      </c>
      <c r="BY204" s="2">
        <f t="shared" si="135"/>
        <v>0</v>
      </c>
      <c r="BZ204" s="2">
        <f t="shared" si="135"/>
        <v>0</v>
      </c>
      <c r="CA204" s="2">
        <f t="shared" ref="CA204:DF204" si="136">CA213</f>
        <v>110833.97</v>
      </c>
      <c r="CB204" s="2">
        <f t="shared" si="136"/>
        <v>0</v>
      </c>
      <c r="CC204" s="2">
        <f t="shared" si="136"/>
        <v>0</v>
      </c>
      <c r="CD204" s="2">
        <f t="shared" si="136"/>
        <v>110833.97</v>
      </c>
      <c r="CE204" s="2">
        <f t="shared" si="136"/>
        <v>0</v>
      </c>
      <c r="CF204" s="2">
        <f t="shared" si="136"/>
        <v>0</v>
      </c>
      <c r="CG204" s="2">
        <f t="shared" si="136"/>
        <v>0</v>
      </c>
      <c r="CH204" s="2">
        <f t="shared" si="136"/>
        <v>0</v>
      </c>
      <c r="CI204" s="2">
        <f t="shared" si="136"/>
        <v>0</v>
      </c>
      <c r="CJ204" s="2">
        <f t="shared" si="136"/>
        <v>0</v>
      </c>
      <c r="CK204" s="2">
        <f t="shared" si="136"/>
        <v>0</v>
      </c>
      <c r="CL204" s="2">
        <f t="shared" si="136"/>
        <v>0</v>
      </c>
      <c r="CM204" s="2">
        <f t="shared" si="136"/>
        <v>0</v>
      </c>
      <c r="CN204" s="2">
        <f t="shared" si="136"/>
        <v>0</v>
      </c>
      <c r="CO204" s="2">
        <f t="shared" si="136"/>
        <v>0</v>
      </c>
      <c r="CP204" s="2">
        <f t="shared" si="136"/>
        <v>0</v>
      </c>
      <c r="CQ204" s="2">
        <f t="shared" si="136"/>
        <v>0</v>
      </c>
      <c r="CR204" s="2">
        <f t="shared" si="136"/>
        <v>0</v>
      </c>
      <c r="CS204" s="2">
        <f t="shared" si="136"/>
        <v>0</v>
      </c>
      <c r="CT204" s="2">
        <f t="shared" si="136"/>
        <v>0</v>
      </c>
      <c r="CU204" s="2">
        <f t="shared" si="136"/>
        <v>0</v>
      </c>
      <c r="CV204" s="2">
        <f t="shared" si="136"/>
        <v>0</v>
      </c>
      <c r="CW204" s="2">
        <f t="shared" si="136"/>
        <v>0</v>
      </c>
      <c r="CX204" s="2">
        <f t="shared" si="136"/>
        <v>0</v>
      </c>
      <c r="CY204" s="2">
        <f t="shared" si="136"/>
        <v>0</v>
      </c>
      <c r="CZ204" s="2">
        <f t="shared" si="136"/>
        <v>0</v>
      </c>
      <c r="DA204" s="2">
        <f t="shared" si="136"/>
        <v>0</v>
      </c>
      <c r="DB204" s="2">
        <f t="shared" si="136"/>
        <v>0</v>
      </c>
      <c r="DC204" s="2">
        <f t="shared" si="136"/>
        <v>0</v>
      </c>
      <c r="DD204" s="2">
        <f t="shared" si="136"/>
        <v>0</v>
      </c>
      <c r="DE204" s="2">
        <f t="shared" si="136"/>
        <v>0</v>
      </c>
      <c r="DF204" s="2">
        <f t="shared" si="136"/>
        <v>0</v>
      </c>
      <c r="DG204" s="3">
        <f t="shared" ref="DG204:EL204" si="137">DG213</f>
        <v>0</v>
      </c>
      <c r="DH204" s="3">
        <f t="shared" si="137"/>
        <v>0</v>
      </c>
      <c r="DI204" s="3">
        <f t="shared" si="137"/>
        <v>0</v>
      </c>
      <c r="DJ204" s="3">
        <f t="shared" si="137"/>
        <v>0</v>
      </c>
      <c r="DK204" s="3">
        <f t="shared" si="137"/>
        <v>0</v>
      </c>
      <c r="DL204" s="3">
        <f t="shared" si="137"/>
        <v>0</v>
      </c>
      <c r="DM204" s="3">
        <f t="shared" si="137"/>
        <v>0</v>
      </c>
      <c r="DN204" s="3">
        <f t="shared" si="137"/>
        <v>0</v>
      </c>
      <c r="DO204" s="3">
        <f t="shared" si="137"/>
        <v>0</v>
      </c>
      <c r="DP204" s="3">
        <f t="shared" si="137"/>
        <v>0</v>
      </c>
      <c r="DQ204" s="3">
        <f t="shared" si="137"/>
        <v>0</v>
      </c>
      <c r="DR204" s="3">
        <f t="shared" si="137"/>
        <v>0</v>
      </c>
      <c r="DS204" s="3">
        <f t="shared" si="137"/>
        <v>0</v>
      </c>
      <c r="DT204" s="3">
        <f t="shared" si="137"/>
        <v>0</v>
      </c>
      <c r="DU204" s="3">
        <f t="shared" si="137"/>
        <v>0</v>
      </c>
      <c r="DV204" s="3">
        <f t="shared" si="137"/>
        <v>0</v>
      </c>
      <c r="DW204" s="3">
        <f t="shared" si="137"/>
        <v>0</v>
      </c>
      <c r="DX204" s="3">
        <f t="shared" si="137"/>
        <v>0</v>
      </c>
      <c r="DY204" s="3">
        <f t="shared" si="137"/>
        <v>0</v>
      </c>
      <c r="DZ204" s="3">
        <f t="shared" si="137"/>
        <v>0</v>
      </c>
      <c r="EA204" s="3">
        <f t="shared" si="137"/>
        <v>0</v>
      </c>
      <c r="EB204" s="3">
        <f t="shared" si="137"/>
        <v>0</v>
      </c>
      <c r="EC204" s="3">
        <f t="shared" si="137"/>
        <v>0</v>
      </c>
      <c r="ED204" s="3">
        <f t="shared" si="137"/>
        <v>0</v>
      </c>
      <c r="EE204" s="3">
        <f t="shared" si="137"/>
        <v>0</v>
      </c>
      <c r="EF204" s="3">
        <f t="shared" si="137"/>
        <v>0</v>
      </c>
      <c r="EG204" s="3">
        <f t="shared" si="137"/>
        <v>0</v>
      </c>
      <c r="EH204" s="3">
        <f t="shared" si="137"/>
        <v>0</v>
      </c>
      <c r="EI204" s="3">
        <f t="shared" si="137"/>
        <v>0</v>
      </c>
      <c r="EJ204" s="3">
        <f t="shared" si="137"/>
        <v>0</v>
      </c>
      <c r="EK204" s="3">
        <f t="shared" si="137"/>
        <v>0</v>
      </c>
      <c r="EL204" s="3">
        <f t="shared" si="137"/>
        <v>0</v>
      </c>
      <c r="EM204" s="3">
        <f t="shared" ref="EM204:FR204" si="138">EM213</f>
        <v>0</v>
      </c>
      <c r="EN204" s="3">
        <f t="shared" si="138"/>
        <v>0</v>
      </c>
      <c r="EO204" s="3">
        <f t="shared" si="138"/>
        <v>0</v>
      </c>
      <c r="EP204" s="3">
        <f t="shared" si="138"/>
        <v>0</v>
      </c>
      <c r="EQ204" s="3">
        <f t="shared" si="138"/>
        <v>0</v>
      </c>
      <c r="ER204" s="3">
        <f t="shared" si="138"/>
        <v>0</v>
      </c>
      <c r="ES204" s="3">
        <f t="shared" si="138"/>
        <v>0</v>
      </c>
      <c r="ET204" s="3">
        <f t="shared" si="138"/>
        <v>0</v>
      </c>
      <c r="EU204" s="3">
        <f t="shared" si="138"/>
        <v>0</v>
      </c>
      <c r="EV204" s="3">
        <f t="shared" si="138"/>
        <v>0</v>
      </c>
      <c r="EW204" s="3">
        <f t="shared" si="138"/>
        <v>0</v>
      </c>
      <c r="EX204" s="3">
        <f t="shared" si="138"/>
        <v>0</v>
      </c>
      <c r="EY204" s="3">
        <f t="shared" si="138"/>
        <v>0</v>
      </c>
      <c r="EZ204" s="3">
        <f t="shared" si="138"/>
        <v>0</v>
      </c>
      <c r="FA204" s="3">
        <f t="shared" si="138"/>
        <v>0</v>
      </c>
      <c r="FB204" s="3">
        <f t="shared" si="138"/>
        <v>0</v>
      </c>
      <c r="FC204" s="3">
        <f t="shared" si="138"/>
        <v>0</v>
      </c>
      <c r="FD204" s="3">
        <f t="shared" si="138"/>
        <v>0</v>
      </c>
      <c r="FE204" s="3">
        <f t="shared" si="138"/>
        <v>0</v>
      </c>
      <c r="FF204" s="3">
        <f t="shared" si="138"/>
        <v>0</v>
      </c>
      <c r="FG204" s="3">
        <f t="shared" si="138"/>
        <v>0</v>
      </c>
      <c r="FH204" s="3">
        <f t="shared" si="138"/>
        <v>0</v>
      </c>
      <c r="FI204" s="3">
        <f t="shared" si="138"/>
        <v>0</v>
      </c>
      <c r="FJ204" s="3">
        <f t="shared" si="138"/>
        <v>0</v>
      </c>
      <c r="FK204" s="3">
        <f t="shared" si="138"/>
        <v>0</v>
      </c>
      <c r="FL204" s="3">
        <f t="shared" si="138"/>
        <v>0</v>
      </c>
      <c r="FM204" s="3">
        <f t="shared" si="138"/>
        <v>0</v>
      </c>
      <c r="FN204" s="3">
        <f t="shared" si="138"/>
        <v>0</v>
      </c>
      <c r="FO204" s="3">
        <f t="shared" si="138"/>
        <v>0</v>
      </c>
      <c r="FP204" s="3">
        <f t="shared" si="138"/>
        <v>0</v>
      </c>
      <c r="FQ204" s="3">
        <f t="shared" si="138"/>
        <v>0</v>
      </c>
      <c r="FR204" s="3">
        <f t="shared" si="138"/>
        <v>0</v>
      </c>
      <c r="FS204" s="3">
        <f t="shared" ref="FS204:GX204" si="139">FS213</f>
        <v>0</v>
      </c>
      <c r="FT204" s="3">
        <f t="shared" si="139"/>
        <v>0</v>
      </c>
      <c r="FU204" s="3">
        <f t="shared" si="139"/>
        <v>0</v>
      </c>
      <c r="FV204" s="3">
        <f t="shared" si="139"/>
        <v>0</v>
      </c>
      <c r="FW204" s="3">
        <f t="shared" si="139"/>
        <v>0</v>
      </c>
      <c r="FX204" s="3">
        <f t="shared" si="139"/>
        <v>0</v>
      </c>
      <c r="FY204" s="3">
        <f t="shared" si="139"/>
        <v>0</v>
      </c>
      <c r="FZ204" s="3">
        <f t="shared" si="139"/>
        <v>0</v>
      </c>
      <c r="GA204" s="3">
        <f t="shared" si="139"/>
        <v>0</v>
      </c>
      <c r="GB204" s="3">
        <f t="shared" si="139"/>
        <v>0</v>
      </c>
      <c r="GC204" s="3">
        <f t="shared" si="139"/>
        <v>0</v>
      </c>
      <c r="GD204" s="3">
        <f t="shared" si="139"/>
        <v>0</v>
      </c>
      <c r="GE204" s="3">
        <f t="shared" si="139"/>
        <v>0</v>
      </c>
      <c r="GF204" s="3">
        <f t="shared" si="139"/>
        <v>0</v>
      </c>
      <c r="GG204" s="3">
        <f t="shared" si="139"/>
        <v>0</v>
      </c>
      <c r="GH204" s="3">
        <f t="shared" si="139"/>
        <v>0</v>
      </c>
      <c r="GI204" s="3">
        <f t="shared" si="139"/>
        <v>0</v>
      </c>
      <c r="GJ204" s="3">
        <f t="shared" si="139"/>
        <v>0</v>
      </c>
      <c r="GK204" s="3">
        <f t="shared" si="139"/>
        <v>0</v>
      </c>
      <c r="GL204" s="3">
        <f t="shared" si="139"/>
        <v>0</v>
      </c>
      <c r="GM204" s="3">
        <f t="shared" si="139"/>
        <v>0</v>
      </c>
      <c r="GN204" s="3">
        <f t="shared" si="139"/>
        <v>0</v>
      </c>
      <c r="GO204" s="3">
        <f t="shared" si="139"/>
        <v>0</v>
      </c>
      <c r="GP204" s="3">
        <f t="shared" si="139"/>
        <v>0</v>
      </c>
      <c r="GQ204" s="3">
        <f t="shared" si="139"/>
        <v>0</v>
      </c>
      <c r="GR204" s="3">
        <f t="shared" si="139"/>
        <v>0</v>
      </c>
      <c r="GS204" s="3">
        <f t="shared" si="139"/>
        <v>0</v>
      </c>
      <c r="GT204" s="3">
        <f t="shared" si="139"/>
        <v>0</v>
      </c>
      <c r="GU204" s="3">
        <f t="shared" si="139"/>
        <v>0</v>
      </c>
      <c r="GV204" s="3">
        <f t="shared" si="139"/>
        <v>0</v>
      </c>
      <c r="GW204" s="3">
        <f t="shared" si="139"/>
        <v>0</v>
      </c>
      <c r="GX204" s="3">
        <f t="shared" si="139"/>
        <v>0</v>
      </c>
    </row>
    <row r="206" spans="1:245" x14ac:dyDescent="0.2">
      <c r="A206">
        <v>17</v>
      </c>
      <c r="B206">
        <v>1</v>
      </c>
      <c r="C206">
        <f>ROW(SmtRes!A176)</f>
        <v>176</v>
      </c>
      <c r="D206">
        <f>ROW(EtalonRes!A176)</f>
        <v>176</v>
      </c>
      <c r="E206" t="s">
        <v>256</v>
      </c>
      <c r="F206" t="s">
        <v>257</v>
      </c>
      <c r="G206" t="s">
        <v>258</v>
      </c>
      <c r="H206" t="s">
        <v>77</v>
      </c>
      <c r="I206">
        <v>8</v>
      </c>
      <c r="J206">
        <v>0</v>
      </c>
      <c r="K206">
        <v>8</v>
      </c>
      <c r="O206">
        <f t="shared" ref="O206:O211" si="140">ROUND(CP206,2)</f>
        <v>4274.62</v>
      </c>
      <c r="P206">
        <f>SUMIF(SmtRes!AQ175:'SmtRes'!AQ176,"=1",SmtRes!DF175:'SmtRes'!DF176)</f>
        <v>0</v>
      </c>
      <c r="Q206">
        <f>SUMIF(SmtRes!AQ175:'SmtRes'!AQ176,"=1",SmtRes!DG175:'SmtRes'!DG176)</f>
        <v>0</v>
      </c>
      <c r="R206">
        <f>SUMIF(SmtRes!AQ175:'SmtRes'!AQ176,"=1",SmtRes!DH175:'SmtRes'!DH176)</f>
        <v>0</v>
      </c>
      <c r="S206">
        <f>SUMIF(SmtRes!AQ175:'SmtRes'!AQ176,"=1",SmtRes!DI175:'SmtRes'!DI176)</f>
        <v>4274.6200000000008</v>
      </c>
      <c r="T206">
        <f t="shared" ref="T206:T211" si="141">ROUND(CU206*I206,2)</f>
        <v>0</v>
      </c>
      <c r="U206">
        <f>SUMIF(SmtRes!AQ175:'SmtRes'!AQ176,"=1",SmtRes!CV175:'SmtRes'!CV176)</f>
        <v>6.56</v>
      </c>
      <c r="V206">
        <f>SUMIF(SmtRes!AQ175:'SmtRes'!AQ176,"=1",SmtRes!CW175:'SmtRes'!CW176)</f>
        <v>0</v>
      </c>
      <c r="W206">
        <f t="shared" ref="W206:W211" si="142">ROUND(CX206*I206,2)</f>
        <v>0</v>
      </c>
      <c r="X206">
        <f t="shared" ref="X206:Y211" si="143">ROUND(CY206,2)</f>
        <v>3163.22</v>
      </c>
      <c r="Y206">
        <f t="shared" si="143"/>
        <v>1538.86</v>
      </c>
      <c r="AA206">
        <v>65178645</v>
      </c>
      <c r="AB206">
        <f t="shared" ref="AB206:AB211" si="144">ROUND((AC206+AD206+AF206),6)</f>
        <v>534.32839999999999</v>
      </c>
      <c r="AC206">
        <f t="shared" ref="AC206:AC211" si="145">ROUND((0),6)</f>
        <v>0</v>
      </c>
      <c r="AD206">
        <f t="shared" ref="AD206:AD211" si="146">ROUND((((0)-(0))+AE206),6)</f>
        <v>0</v>
      </c>
      <c r="AE206">
        <f t="shared" ref="AE206:AE211" si="147">ROUND((0),6)</f>
        <v>0</v>
      </c>
      <c r="AF206">
        <f>ROUND((SUM(SmtRes!BT175:'SmtRes'!BT176)),6)</f>
        <v>534.32839999999999</v>
      </c>
      <c r="AG206">
        <f t="shared" ref="AG206:AG211" si="148">ROUND((AP206),6)</f>
        <v>0</v>
      </c>
      <c r="AH206">
        <f>(SUM(SmtRes!BU175:'SmtRes'!BU176))</f>
        <v>0.82</v>
      </c>
      <c r="AI206">
        <f>(0)</f>
        <v>0</v>
      </c>
      <c r="AJ206">
        <f t="shared" ref="AJ206:AJ211" si="149">(AS206)</f>
        <v>0</v>
      </c>
      <c r="AK206">
        <v>534.32839999999999</v>
      </c>
      <c r="AL206">
        <v>0</v>
      </c>
      <c r="AM206">
        <v>0</v>
      </c>
      <c r="AN206">
        <v>0</v>
      </c>
      <c r="AO206">
        <v>534.32839999999999</v>
      </c>
      <c r="AP206">
        <v>0</v>
      </c>
      <c r="AQ206">
        <v>0.82</v>
      </c>
      <c r="AR206">
        <v>0</v>
      </c>
      <c r="AS206">
        <v>0</v>
      </c>
      <c r="AT206">
        <v>74</v>
      </c>
      <c r="AU206">
        <v>36</v>
      </c>
      <c r="AV206">
        <v>1</v>
      </c>
      <c r="AW206">
        <v>1</v>
      </c>
      <c r="AZ206">
        <v>1</v>
      </c>
      <c r="BA206">
        <v>1</v>
      </c>
      <c r="BB206">
        <v>1</v>
      </c>
      <c r="BC206">
        <v>1</v>
      </c>
      <c r="BD206" t="s">
        <v>3</v>
      </c>
      <c r="BE206" t="s">
        <v>3</v>
      </c>
      <c r="BF206" t="s">
        <v>3</v>
      </c>
      <c r="BG206" t="s">
        <v>3</v>
      </c>
      <c r="BH206">
        <v>0</v>
      </c>
      <c r="BI206">
        <v>4</v>
      </c>
      <c r="BJ206" t="s">
        <v>259</v>
      </c>
      <c r="BM206">
        <v>200001</v>
      </c>
      <c r="BN206">
        <v>0</v>
      </c>
      <c r="BO206" t="s">
        <v>3</v>
      </c>
      <c r="BP206">
        <v>0</v>
      </c>
      <c r="BQ206">
        <v>4</v>
      </c>
      <c r="BR206">
        <v>0</v>
      </c>
      <c r="BS206">
        <v>1</v>
      </c>
      <c r="BT206">
        <v>1</v>
      </c>
      <c r="BU206">
        <v>1</v>
      </c>
      <c r="BV206">
        <v>1</v>
      </c>
      <c r="BW206">
        <v>1</v>
      </c>
      <c r="BX206">
        <v>1</v>
      </c>
      <c r="BY206" t="s">
        <v>3</v>
      </c>
      <c r="BZ206">
        <v>74</v>
      </c>
      <c r="CA206">
        <v>36</v>
      </c>
      <c r="CB206" t="s">
        <v>3</v>
      </c>
      <c r="CE206">
        <v>0</v>
      </c>
      <c r="CF206">
        <v>0</v>
      </c>
      <c r="CG206">
        <v>0</v>
      </c>
      <c r="CM206">
        <v>0</v>
      </c>
      <c r="CN206" t="s">
        <v>3</v>
      </c>
      <c r="CO206">
        <v>0</v>
      </c>
      <c r="CP206">
        <f t="shared" ref="CP206:CP211" si="150">(P206+Q206+S206+R206)</f>
        <v>4274.6200000000008</v>
      </c>
      <c r="CQ206">
        <f>SUMIF(SmtRes!AQ175:'SmtRes'!AQ176,"=1",SmtRes!AA175:'SmtRes'!AA176)</f>
        <v>0</v>
      </c>
      <c r="CR206">
        <f>SUMIF(SmtRes!AQ175:'SmtRes'!AQ176,"=1",SmtRes!AB175:'SmtRes'!AB176)</f>
        <v>0</v>
      </c>
      <c r="CS206">
        <f>SUMIF(SmtRes!AQ175:'SmtRes'!AQ176,"=1",SmtRes!AC175:'SmtRes'!AC176)</f>
        <v>0</v>
      </c>
      <c r="CT206">
        <f>SUMIF(SmtRes!AQ175:'SmtRes'!AQ176,"=1",SmtRes!AD175:'SmtRes'!AD176)</f>
        <v>1303.24</v>
      </c>
      <c r="CU206">
        <f t="shared" ref="CU206:CU211" si="151">AG206</f>
        <v>0</v>
      </c>
      <c r="CV206">
        <f>SUMIF(SmtRes!AQ175:'SmtRes'!AQ176,"=1",SmtRes!BU175:'SmtRes'!BU176)</f>
        <v>0.82</v>
      </c>
      <c r="CW206">
        <f>SUMIF(SmtRes!AQ175:'SmtRes'!AQ176,"=1",SmtRes!BV175:'SmtRes'!BV176)</f>
        <v>0</v>
      </c>
      <c r="CX206">
        <f t="shared" ref="CX206:CX211" si="152">AJ206</f>
        <v>0</v>
      </c>
      <c r="CY206">
        <f t="shared" ref="CY206:CY211" si="153">(((S206+R206)*AT206)/100)</f>
        <v>3163.2188000000006</v>
      </c>
      <c r="CZ206">
        <f t="shared" ref="CZ206:CZ211" si="154">(((S206+R206)*AU206)/100)</f>
        <v>1538.8632000000005</v>
      </c>
      <c r="DC206" t="s">
        <v>3</v>
      </c>
      <c r="DD206" t="s">
        <v>3</v>
      </c>
      <c r="DE206" t="s">
        <v>3</v>
      </c>
      <c r="DF206" t="s">
        <v>3</v>
      </c>
      <c r="DG206" t="s">
        <v>3</v>
      </c>
      <c r="DH206" t="s">
        <v>3</v>
      </c>
      <c r="DI206" t="s">
        <v>3</v>
      </c>
      <c r="DJ206" t="s">
        <v>3</v>
      </c>
      <c r="DK206" t="s">
        <v>3</v>
      </c>
      <c r="DL206" t="s">
        <v>3</v>
      </c>
      <c r="DM206" t="s">
        <v>3</v>
      </c>
      <c r="DN206">
        <v>0</v>
      </c>
      <c r="DO206">
        <v>0</v>
      </c>
      <c r="DP206">
        <v>1</v>
      </c>
      <c r="DQ206">
        <v>1</v>
      </c>
      <c r="DU206">
        <v>1013</v>
      </c>
      <c r="DV206" t="s">
        <v>77</v>
      </c>
      <c r="DW206" t="s">
        <v>77</v>
      </c>
      <c r="DX206">
        <v>1</v>
      </c>
      <c r="DZ206" t="s">
        <v>3</v>
      </c>
      <c r="EA206" t="s">
        <v>3</v>
      </c>
      <c r="EB206" t="s">
        <v>3</v>
      </c>
      <c r="EC206" t="s">
        <v>3</v>
      </c>
      <c r="EE206">
        <v>64850927</v>
      </c>
      <c r="EF206">
        <v>4</v>
      </c>
      <c r="EG206" t="s">
        <v>255</v>
      </c>
      <c r="EH206">
        <v>83</v>
      </c>
      <c r="EI206" t="s">
        <v>255</v>
      </c>
      <c r="EJ206">
        <v>4</v>
      </c>
      <c r="EK206">
        <v>200001</v>
      </c>
      <c r="EL206" t="s">
        <v>260</v>
      </c>
      <c r="EM206" t="s">
        <v>261</v>
      </c>
      <c r="EO206" t="s">
        <v>3</v>
      </c>
      <c r="EQ206">
        <v>0</v>
      </c>
      <c r="ER206">
        <v>0</v>
      </c>
      <c r="ES206">
        <v>0</v>
      </c>
      <c r="ET206">
        <v>0</v>
      </c>
      <c r="EU206">
        <v>0</v>
      </c>
      <c r="EV206">
        <v>0</v>
      </c>
      <c r="EW206">
        <v>0.82</v>
      </c>
      <c r="EX206">
        <v>0</v>
      </c>
      <c r="EY206">
        <v>0</v>
      </c>
      <c r="FQ206">
        <v>0</v>
      </c>
      <c r="FR206">
        <f t="shared" ref="FR206:FR211" si="155">ROUND(IF(BI206=3,GM206,0),2)</f>
        <v>0</v>
      </c>
      <c r="FS206">
        <v>0</v>
      </c>
      <c r="FX206">
        <v>74</v>
      </c>
      <c r="FY206">
        <v>36</v>
      </c>
      <c r="GA206" t="s">
        <v>3</v>
      </c>
      <c r="GD206">
        <v>1</v>
      </c>
      <c r="GF206">
        <v>1330066137</v>
      </c>
      <c r="GG206">
        <v>2</v>
      </c>
      <c r="GH206">
        <v>1</v>
      </c>
      <c r="GI206">
        <v>-2</v>
      </c>
      <c r="GJ206">
        <v>0</v>
      </c>
      <c r="GK206">
        <v>0</v>
      </c>
      <c r="GL206">
        <f t="shared" ref="GL206:GL211" si="156">ROUND(IF(AND(BH206=3,BI206=3,FS206&lt;&gt;0),P206,0),2)</f>
        <v>0</v>
      </c>
      <c r="GM206">
        <f t="shared" ref="GM206:GM211" si="157">ROUND(O206+X206+Y206,2)+GX206</f>
        <v>8976.7000000000007</v>
      </c>
      <c r="GN206">
        <f t="shared" ref="GN206:GN211" si="158">IF(OR(BI206=0,BI206=1),GM206-GX206,0)</f>
        <v>0</v>
      </c>
      <c r="GO206">
        <f t="shared" ref="GO206:GO211" si="159">IF(BI206=2,GM206-GX206,0)</f>
        <v>0</v>
      </c>
      <c r="GP206">
        <f t="shared" ref="GP206:GP211" si="160">IF(BI206=4,GM206-GX206,0)</f>
        <v>8976.7000000000007</v>
      </c>
      <c r="GR206">
        <v>0</v>
      </c>
      <c r="GS206">
        <v>3</v>
      </c>
      <c r="GT206">
        <v>0</v>
      </c>
      <c r="GU206" t="s">
        <v>3</v>
      </c>
      <c r="GV206">
        <f t="shared" ref="GV206:GV211" si="161">ROUND((GT206),6)</f>
        <v>0</v>
      </c>
      <c r="GW206">
        <v>1</v>
      </c>
      <c r="GX206">
        <f t="shared" ref="GX206:GX211" si="162">ROUND(HC206*I206,2)</f>
        <v>0</v>
      </c>
      <c r="HA206">
        <v>0</v>
      </c>
      <c r="HB206">
        <v>0</v>
      </c>
      <c r="HC206">
        <f t="shared" ref="HC206:HC211" si="163">GV206*GW206</f>
        <v>0</v>
      </c>
      <c r="HE206" t="s">
        <v>3</v>
      </c>
      <c r="HF206" t="s">
        <v>3</v>
      </c>
      <c r="HM206" t="s">
        <v>3</v>
      </c>
      <c r="HN206" t="s">
        <v>262</v>
      </c>
      <c r="HO206" t="s">
        <v>263</v>
      </c>
      <c r="HP206" t="s">
        <v>255</v>
      </c>
      <c r="HQ206" t="s">
        <v>255</v>
      </c>
      <c r="IK206">
        <v>0</v>
      </c>
    </row>
    <row r="207" spans="1:245" x14ac:dyDescent="0.2">
      <c r="A207">
        <v>17</v>
      </c>
      <c r="B207">
        <v>1</v>
      </c>
      <c r="C207">
        <f>ROW(SmtRes!A178)</f>
        <v>178</v>
      </c>
      <c r="D207">
        <f>ROW(EtalonRes!A178)</f>
        <v>178</v>
      </c>
      <c r="E207" t="s">
        <v>264</v>
      </c>
      <c r="F207" t="s">
        <v>265</v>
      </c>
      <c r="G207" t="s">
        <v>266</v>
      </c>
      <c r="H207" t="s">
        <v>77</v>
      </c>
      <c r="I207">
        <v>8</v>
      </c>
      <c r="J207">
        <v>0</v>
      </c>
      <c r="K207">
        <v>8</v>
      </c>
      <c r="O207">
        <f t="shared" si="140"/>
        <v>1668.14</v>
      </c>
      <c r="P207">
        <f>SUMIF(SmtRes!AQ177:'SmtRes'!AQ178,"=1",SmtRes!DF177:'SmtRes'!DF178)</f>
        <v>0</v>
      </c>
      <c r="Q207">
        <f>SUMIF(SmtRes!AQ177:'SmtRes'!AQ178,"=1",SmtRes!DG177:'SmtRes'!DG178)</f>
        <v>0</v>
      </c>
      <c r="R207">
        <f>SUMIF(SmtRes!AQ177:'SmtRes'!AQ178,"=1",SmtRes!DH177:'SmtRes'!DH178)</f>
        <v>0</v>
      </c>
      <c r="S207">
        <f>SUMIF(SmtRes!AQ177:'SmtRes'!AQ178,"=1",SmtRes!DI177:'SmtRes'!DI178)</f>
        <v>1668.14</v>
      </c>
      <c r="T207">
        <f t="shared" si="141"/>
        <v>0</v>
      </c>
      <c r="U207">
        <f>SUMIF(SmtRes!AQ177:'SmtRes'!AQ178,"=1",SmtRes!CV177:'SmtRes'!CV178)</f>
        <v>2.56</v>
      </c>
      <c r="V207">
        <f>SUMIF(SmtRes!AQ177:'SmtRes'!AQ178,"=1",SmtRes!CW177:'SmtRes'!CW178)</f>
        <v>0</v>
      </c>
      <c r="W207">
        <f t="shared" si="142"/>
        <v>0</v>
      </c>
      <c r="X207">
        <f t="shared" si="143"/>
        <v>1234.42</v>
      </c>
      <c r="Y207">
        <f t="shared" si="143"/>
        <v>600.53</v>
      </c>
      <c r="AA207">
        <v>65178645</v>
      </c>
      <c r="AB207">
        <f t="shared" si="144"/>
        <v>208.51840000000001</v>
      </c>
      <c r="AC207">
        <f t="shared" si="145"/>
        <v>0</v>
      </c>
      <c r="AD207">
        <f t="shared" si="146"/>
        <v>0</v>
      </c>
      <c r="AE207">
        <f t="shared" si="147"/>
        <v>0</v>
      </c>
      <c r="AF207">
        <f>ROUND((SUM(SmtRes!BT177:'SmtRes'!BT178)),6)</f>
        <v>208.51840000000001</v>
      </c>
      <c r="AG207">
        <f t="shared" si="148"/>
        <v>0</v>
      </c>
      <c r="AH207">
        <f>(SUM(SmtRes!BU177:'SmtRes'!BU178))</f>
        <v>0.32</v>
      </c>
      <c r="AI207">
        <f>(0)</f>
        <v>0</v>
      </c>
      <c r="AJ207">
        <f t="shared" si="149"/>
        <v>0</v>
      </c>
      <c r="AK207">
        <v>208.51839999999999</v>
      </c>
      <c r="AL207">
        <v>0</v>
      </c>
      <c r="AM207">
        <v>0</v>
      </c>
      <c r="AN207">
        <v>0</v>
      </c>
      <c r="AO207">
        <v>208.51839999999999</v>
      </c>
      <c r="AP207">
        <v>0</v>
      </c>
      <c r="AQ207">
        <v>0.32</v>
      </c>
      <c r="AR207">
        <v>0</v>
      </c>
      <c r="AS207">
        <v>0</v>
      </c>
      <c r="AT207">
        <v>74</v>
      </c>
      <c r="AU207">
        <v>36</v>
      </c>
      <c r="AV207">
        <v>1</v>
      </c>
      <c r="AW207">
        <v>1</v>
      </c>
      <c r="AZ207">
        <v>1</v>
      </c>
      <c r="BA207">
        <v>1</v>
      </c>
      <c r="BB207">
        <v>1</v>
      </c>
      <c r="BC207">
        <v>1</v>
      </c>
      <c r="BD207" t="s">
        <v>3</v>
      </c>
      <c r="BE207" t="s">
        <v>3</v>
      </c>
      <c r="BF207" t="s">
        <v>3</v>
      </c>
      <c r="BG207" t="s">
        <v>3</v>
      </c>
      <c r="BH207">
        <v>0</v>
      </c>
      <c r="BI207">
        <v>4</v>
      </c>
      <c r="BJ207" t="s">
        <v>267</v>
      </c>
      <c r="BM207">
        <v>200001</v>
      </c>
      <c r="BN207">
        <v>0</v>
      </c>
      <c r="BO207" t="s">
        <v>3</v>
      </c>
      <c r="BP207">
        <v>0</v>
      </c>
      <c r="BQ207">
        <v>4</v>
      </c>
      <c r="BR207">
        <v>0</v>
      </c>
      <c r="BS207">
        <v>1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3</v>
      </c>
      <c r="BZ207">
        <v>74</v>
      </c>
      <c r="CA207">
        <v>36</v>
      </c>
      <c r="CB207" t="s">
        <v>3</v>
      </c>
      <c r="CE207">
        <v>0</v>
      </c>
      <c r="CF207">
        <v>0</v>
      </c>
      <c r="CG207">
        <v>0</v>
      </c>
      <c r="CM207">
        <v>0</v>
      </c>
      <c r="CN207" t="s">
        <v>3</v>
      </c>
      <c r="CO207">
        <v>0</v>
      </c>
      <c r="CP207">
        <f t="shared" si="150"/>
        <v>1668.14</v>
      </c>
      <c r="CQ207">
        <f>SUMIF(SmtRes!AQ177:'SmtRes'!AQ178,"=1",SmtRes!AA177:'SmtRes'!AA178)</f>
        <v>0</v>
      </c>
      <c r="CR207">
        <f>SUMIF(SmtRes!AQ177:'SmtRes'!AQ178,"=1",SmtRes!AB177:'SmtRes'!AB178)</f>
        <v>0</v>
      </c>
      <c r="CS207">
        <f>SUMIF(SmtRes!AQ177:'SmtRes'!AQ178,"=1",SmtRes!AC177:'SmtRes'!AC178)</f>
        <v>0</v>
      </c>
      <c r="CT207">
        <f>SUMIF(SmtRes!AQ177:'SmtRes'!AQ178,"=1",SmtRes!AD177:'SmtRes'!AD178)</f>
        <v>1303.24</v>
      </c>
      <c r="CU207">
        <f t="shared" si="151"/>
        <v>0</v>
      </c>
      <c r="CV207">
        <f>SUMIF(SmtRes!AQ177:'SmtRes'!AQ178,"=1",SmtRes!BU177:'SmtRes'!BU178)</f>
        <v>0.32</v>
      </c>
      <c r="CW207">
        <f>SUMIF(SmtRes!AQ177:'SmtRes'!AQ178,"=1",SmtRes!BV177:'SmtRes'!BV178)</f>
        <v>0</v>
      </c>
      <c r="CX207">
        <f t="shared" si="152"/>
        <v>0</v>
      </c>
      <c r="CY207">
        <f t="shared" si="153"/>
        <v>1234.4236000000001</v>
      </c>
      <c r="CZ207">
        <f t="shared" si="154"/>
        <v>600.53039999999999</v>
      </c>
      <c r="DC207" t="s">
        <v>3</v>
      </c>
      <c r="DD207" t="s">
        <v>3</v>
      </c>
      <c r="DE207" t="s">
        <v>3</v>
      </c>
      <c r="DF207" t="s">
        <v>3</v>
      </c>
      <c r="DG207" t="s">
        <v>3</v>
      </c>
      <c r="DH207" t="s">
        <v>3</v>
      </c>
      <c r="DI207" t="s">
        <v>3</v>
      </c>
      <c r="DJ207" t="s">
        <v>3</v>
      </c>
      <c r="DK207" t="s">
        <v>3</v>
      </c>
      <c r="DL207" t="s">
        <v>3</v>
      </c>
      <c r="DM207" t="s">
        <v>3</v>
      </c>
      <c r="DN207">
        <v>0</v>
      </c>
      <c r="DO207">
        <v>0</v>
      </c>
      <c r="DP207">
        <v>1</v>
      </c>
      <c r="DQ207">
        <v>1</v>
      </c>
      <c r="DU207">
        <v>1013</v>
      </c>
      <c r="DV207" t="s">
        <v>77</v>
      </c>
      <c r="DW207" t="s">
        <v>77</v>
      </c>
      <c r="DX207">
        <v>1</v>
      </c>
      <c r="DZ207" t="s">
        <v>3</v>
      </c>
      <c r="EA207" t="s">
        <v>3</v>
      </c>
      <c r="EB207" t="s">
        <v>3</v>
      </c>
      <c r="EC207" t="s">
        <v>3</v>
      </c>
      <c r="EE207">
        <v>64850927</v>
      </c>
      <c r="EF207">
        <v>4</v>
      </c>
      <c r="EG207" t="s">
        <v>255</v>
      </c>
      <c r="EH207">
        <v>83</v>
      </c>
      <c r="EI207" t="s">
        <v>255</v>
      </c>
      <c r="EJ207">
        <v>4</v>
      </c>
      <c r="EK207">
        <v>200001</v>
      </c>
      <c r="EL207" t="s">
        <v>260</v>
      </c>
      <c r="EM207" t="s">
        <v>261</v>
      </c>
      <c r="EO207" t="s">
        <v>3</v>
      </c>
      <c r="EQ207">
        <v>0</v>
      </c>
      <c r="ER207">
        <v>0</v>
      </c>
      <c r="ES207">
        <v>0</v>
      </c>
      <c r="ET207">
        <v>0</v>
      </c>
      <c r="EU207">
        <v>0</v>
      </c>
      <c r="EV207">
        <v>0</v>
      </c>
      <c r="EW207">
        <v>0.32</v>
      </c>
      <c r="EX207">
        <v>0</v>
      </c>
      <c r="EY207">
        <v>0</v>
      </c>
      <c r="FQ207">
        <v>0</v>
      </c>
      <c r="FR207">
        <f t="shared" si="155"/>
        <v>0</v>
      </c>
      <c r="FS207">
        <v>0</v>
      </c>
      <c r="FX207">
        <v>74</v>
      </c>
      <c r="FY207">
        <v>36</v>
      </c>
      <c r="GA207" t="s">
        <v>3</v>
      </c>
      <c r="GD207">
        <v>1</v>
      </c>
      <c r="GF207">
        <v>-403394655</v>
      </c>
      <c r="GG207">
        <v>2</v>
      </c>
      <c r="GH207">
        <v>1</v>
      </c>
      <c r="GI207">
        <v>-2</v>
      </c>
      <c r="GJ207">
        <v>0</v>
      </c>
      <c r="GK207">
        <v>0</v>
      </c>
      <c r="GL207">
        <f t="shared" si="156"/>
        <v>0</v>
      </c>
      <c r="GM207">
        <f t="shared" si="157"/>
        <v>3503.09</v>
      </c>
      <c r="GN207">
        <f t="shared" si="158"/>
        <v>0</v>
      </c>
      <c r="GO207">
        <f t="shared" si="159"/>
        <v>0</v>
      </c>
      <c r="GP207">
        <f t="shared" si="160"/>
        <v>3503.09</v>
      </c>
      <c r="GR207">
        <v>0</v>
      </c>
      <c r="GS207">
        <v>3</v>
      </c>
      <c r="GT207">
        <v>0</v>
      </c>
      <c r="GU207" t="s">
        <v>3</v>
      </c>
      <c r="GV207">
        <f t="shared" si="161"/>
        <v>0</v>
      </c>
      <c r="GW207">
        <v>1</v>
      </c>
      <c r="GX207">
        <f t="shared" si="162"/>
        <v>0</v>
      </c>
      <c r="HA207">
        <v>0</v>
      </c>
      <c r="HB207">
        <v>0</v>
      </c>
      <c r="HC207">
        <f t="shared" si="163"/>
        <v>0</v>
      </c>
      <c r="HE207" t="s">
        <v>3</v>
      </c>
      <c r="HF207" t="s">
        <v>3</v>
      </c>
      <c r="HM207" t="s">
        <v>3</v>
      </c>
      <c r="HN207" t="s">
        <v>262</v>
      </c>
      <c r="HO207" t="s">
        <v>263</v>
      </c>
      <c r="HP207" t="s">
        <v>255</v>
      </c>
      <c r="HQ207" t="s">
        <v>255</v>
      </c>
      <c r="IK207">
        <v>0</v>
      </c>
    </row>
    <row r="208" spans="1:245" x14ac:dyDescent="0.2">
      <c r="A208">
        <v>17</v>
      </c>
      <c r="B208">
        <v>1</v>
      </c>
      <c r="C208">
        <f>ROW(SmtRes!A180)</f>
        <v>180</v>
      </c>
      <c r="D208">
        <f>ROW(EtalonRes!A180)</f>
        <v>180</v>
      </c>
      <c r="E208" t="s">
        <v>268</v>
      </c>
      <c r="F208" t="s">
        <v>269</v>
      </c>
      <c r="G208" t="s">
        <v>270</v>
      </c>
      <c r="H208" t="s">
        <v>271</v>
      </c>
      <c r="I208">
        <v>12</v>
      </c>
      <c r="J208">
        <v>0</v>
      </c>
      <c r="K208">
        <v>12</v>
      </c>
      <c r="O208">
        <f t="shared" si="140"/>
        <v>7819.44</v>
      </c>
      <c r="P208">
        <f>SUMIF(SmtRes!AQ179:'SmtRes'!AQ180,"=1",SmtRes!DF179:'SmtRes'!DF180)</f>
        <v>0</v>
      </c>
      <c r="Q208">
        <f>SUMIF(SmtRes!AQ179:'SmtRes'!AQ180,"=1",SmtRes!DG179:'SmtRes'!DG180)</f>
        <v>0</v>
      </c>
      <c r="R208">
        <f>SUMIF(SmtRes!AQ179:'SmtRes'!AQ180,"=1",SmtRes!DH179:'SmtRes'!DH180)</f>
        <v>0</v>
      </c>
      <c r="S208">
        <f>SUMIF(SmtRes!AQ179:'SmtRes'!AQ180,"=1",SmtRes!DI179:'SmtRes'!DI180)</f>
        <v>7819.4400000000005</v>
      </c>
      <c r="T208">
        <f t="shared" si="141"/>
        <v>0</v>
      </c>
      <c r="U208">
        <f>SUMIF(SmtRes!AQ179:'SmtRes'!AQ180,"=1",SmtRes!CV179:'SmtRes'!CV180)</f>
        <v>12</v>
      </c>
      <c r="V208">
        <f>SUMIF(SmtRes!AQ179:'SmtRes'!AQ180,"=1",SmtRes!CW179:'SmtRes'!CW180)</f>
        <v>0</v>
      </c>
      <c r="W208">
        <f t="shared" si="142"/>
        <v>0</v>
      </c>
      <c r="X208">
        <f t="shared" si="143"/>
        <v>5786.39</v>
      </c>
      <c r="Y208">
        <f t="shared" si="143"/>
        <v>2815</v>
      </c>
      <c r="AA208">
        <v>65178645</v>
      </c>
      <c r="AB208">
        <f t="shared" si="144"/>
        <v>651.62</v>
      </c>
      <c r="AC208">
        <f t="shared" si="145"/>
        <v>0</v>
      </c>
      <c r="AD208">
        <f t="shared" si="146"/>
        <v>0</v>
      </c>
      <c r="AE208">
        <f t="shared" si="147"/>
        <v>0</v>
      </c>
      <c r="AF208">
        <f>ROUND((SUM(SmtRes!BT179:'SmtRes'!BT180)),6)</f>
        <v>651.62</v>
      </c>
      <c r="AG208">
        <f t="shared" si="148"/>
        <v>0</v>
      </c>
      <c r="AH208">
        <f>(SUM(SmtRes!BU179:'SmtRes'!BU180))</f>
        <v>1</v>
      </c>
      <c r="AI208">
        <f>(0)</f>
        <v>0</v>
      </c>
      <c r="AJ208">
        <f t="shared" si="149"/>
        <v>0</v>
      </c>
      <c r="AK208">
        <v>651.62</v>
      </c>
      <c r="AL208">
        <v>0</v>
      </c>
      <c r="AM208">
        <v>0</v>
      </c>
      <c r="AN208">
        <v>0</v>
      </c>
      <c r="AO208">
        <v>651.62</v>
      </c>
      <c r="AP208">
        <v>0</v>
      </c>
      <c r="AQ208">
        <v>1</v>
      </c>
      <c r="AR208">
        <v>0</v>
      </c>
      <c r="AS208">
        <v>0</v>
      </c>
      <c r="AT208">
        <v>74</v>
      </c>
      <c r="AU208">
        <v>36</v>
      </c>
      <c r="AV208">
        <v>1</v>
      </c>
      <c r="AW208">
        <v>1</v>
      </c>
      <c r="AZ208">
        <v>1</v>
      </c>
      <c r="BA208">
        <v>1</v>
      </c>
      <c r="BB208">
        <v>1</v>
      </c>
      <c r="BC208">
        <v>1</v>
      </c>
      <c r="BD208" t="s">
        <v>3</v>
      </c>
      <c r="BE208" t="s">
        <v>3</v>
      </c>
      <c r="BF208" t="s">
        <v>3</v>
      </c>
      <c r="BG208" t="s">
        <v>3</v>
      </c>
      <c r="BH208">
        <v>0</v>
      </c>
      <c r="BI208">
        <v>4</v>
      </c>
      <c r="BJ208" t="s">
        <v>272</v>
      </c>
      <c r="BM208">
        <v>200001</v>
      </c>
      <c r="BN208">
        <v>0</v>
      </c>
      <c r="BO208" t="s">
        <v>3</v>
      </c>
      <c r="BP208">
        <v>0</v>
      </c>
      <c r="BQ208">
        <v>4</v>
      </c>
      <c r="BR208">
        <v>0</v>
      </c>
      <c r="BS208">
        <v>1</v>
      </c>
      <c r="BT208">
        <v>1</v>
      </c>
      <c r="BU208">
        <v>1</v>
      </c>
      <c r="BV208">
        <v>1</v>
      </c>
      <c r="BW208">
        <v>1</v>
      </c>
      <c r="BX208">
        <v>1</v>
      </c>
      <c r="BY208" t="s">
        <v>3</v>
      </c>
      <c r="BZ208">
        <v>74</v>
      </c>
      <c r="CA208">
        <v>36</v>
      </c>
      <c r="CB208" t="s">
        <v>3</v>
      </c>
      <c r="CE208">
        <v>0</v>
      </c>
      <c r="CF208">
        <v>0</v>
      </c>
      <c r="CG208">
        <v>0</v>
      </c>
      <c r="CM208">
        <v>0</v>
      </c>
      <c r="CN208" t="s">
        <v>3</v>
      </c>
      <c r="CO208">
        <v>0</v>
      </c>
      <c r="CP208">
        <f t="shared" si="150"/>
        <v>7819.4400000000005</v>
      </c>
      <c r="CQ208">
        <f>SUMIF(SmtRes!AQ179:'SmtRes'!AQ180,"=1",SmtRes!AA179:'SmtRes'!AA180)</f>
        <v>0</v>
      </c>
      <c r="CR208">
        <f>SUMIF(SmtRes!AQ179:'SmtRes'!AQ180,"=1",SmtRes!AB179:'SmtRes'!AB180)</f>
        <v>0</v>
      </c>
      <c r="CS208">
        <f>SUMIF(SmtRes!AQ179:'SmtRes'!AQ180,"=1",SmtRes!AC179:'SmtRes'!AC180)</f>
        <v>0</v>
      </c>
      <c r="CT208">
        <f>SUMIF(SmtRes!AQ179:'SmtRes'!AQ180,"=1",SmtRes!AD179:'SmtRes'!AD180)</f>
        <v>1303.24</v>
      </c>
      <c r="CU208">
        <f t="shared" si="151"/>
        <v>0</v>
      </c>
      <c r="CV208">
        <f>SUMIF(SmtRes!AQ179:'SmtRes'!AQ180,"=1",SmtRes!BU179:'SmtRes'!BU180)</f>
        <v>1</v>
      </c>
      <c r="CW208">
        <f>SUMIF(SmtRes!AQ179:'SmtRes'!AQ180,"=1",SmtRes!BV179:'SmtRes'!BV180)</f>
        <v>0</v>
      </c>
      <c r="CX208">
        <f t="shared" si="152"/>
        <v>0</v>
      </c>
      <c r="CY208">
        <f t="shared" si="153"/>
        <v>5786.3856000000005</v>
      </c>
      <c r="CZ208">
        <f t="shared" si="154"/>
        <v>2814.9984000000004</v>
      </c>
      <c r="DC208" t="s">
        <v>3</v>
      </c>
      <c r="DD208" t="s">
        <v>3</v>
      </c>
      <c r="DE208" t="s">
        <v>3</v>
      </c>
      <c r="DF208" t="s">
        <v>3</v>
      </c>
      <c r="DG208" t="s">
        <v>3</v>
      </c>
      <c r="DH208" t="s">
        <v>3</v>
      </c>
      <c r="DI208" t="s">
        <v>3</v>
      </c>
      <c r="DJ208" t="s">
        <v>3</v>
      </c>
      <c r="DK208" t="s">
        <v>3</v>
      </c>
      <c r="DL208" t="s">
        <v>3</v>
      </c>
      <c r="DM208" t="s">
        <v>3</v>
      </c>
      <c r="DN208">
        <v>0</v>
      </c>
      <c r="DO208">
        <v>0</v>
      </c>
      <c r="DP208">
        <v>1</v>
      </c>
      <c r="DQ208">
        <v>1</v>
      </c>
      <c r="DU208">
        <v>1013</v>
      </c>
      <c r="DV208" t="s">
        <v>271</v>
      </c>
      <c r="DW208" t="s">
        <v>271</v>
      </c>
      <c r="DX208">
        <v>1</v>
      </c>
      <c r="DZ208" t="s">
        <v>3</v>
      </c>
      <c r="EA208" t="s">
        <v>3</v>
      </c>
      <c r="EB208" t="s">
        <v>3</v>
      </c>
      <c r="EC208" t="s">
        <v>3</v>
      </c>
      <c r="EE208">
        <v>64850927</v>
      </c>
      <c r="EF208">
        <v>4</v>
      </c>
      <c r="EG208" t="s">
        <v>255</v>
      </c>
      <c r="EH208">
        <v>83</v>
      </c>
      <c r="EI208" t="s">
        <v>255</v>
      </c>
      <c r="EJ208">
        <v>4</v>
      </c>
      <c r="EK208">
        <v>200001</v>
      </c>
      <c r="EL208" t="s">
        <v>260</v>
      </c>
      <c r="EM208" t="s">
        <v>261</v>
      </c>
      <c r="EO208" t="s">
        <v>3</v>
      </c>
      <c r="EQ208">
        <v>0</v>
      </c>
      <c r="ER208">
        <v>0</v>
      </c>
      <c r="ES208">
        <v>0</v>
      </c>
      <c r="ET208">
        <v>0</v>
      </c>
      <c r="EU208">
        <v>0</v>
      </c>
      <c r="EV208">
        <v>0</v>
      </c>
      <c r="EW208">
        <v>1</v>
      </c>
      <c r="EX208">
        <v>0</v>
      </c>
      <c r="EY208">
        <v>0</v>
      </c>
      <c r="FQ208">
        <v>0</v>
      </c>
      <c r="FR208">
        <f t="shared" si="155"/>
        <v>0</v>
      </c>
      <c r="FS208">
        <v>0</v>
      </c>
      <c r="FX208">
        <v>74</v>
      </c>
      <c r="FY208">
        <v>36</v>
      </c>
      <c r="GA208" t="s">
        <v>3</v>
      </c>
      <c r="GD208">
        <v>1</v>
      </c>
      <c r="GF208">
        <v>-1749706224</v>
      </c>
      <c r="GG208">
        <v>2</v>
      </c>
      <c r="GH208">
        <v>1</v>
      </c>
      <c r="GI208">
        <v>-2</v>
      </c>
      <c r="GJ208">
        <v>0</v>
      </c>
      <c r="GK208">
        <v>0</v>
      </c>
      <c r="GL208">
        <f t="shared" si="156"/>
        <v>0</v>
      </c>
      <c r="GM208">
        <f t="shared" si="157"/>
        <v>16420.830000000002</v>
      </c>
      <c r="GN208">
        <f t="shared" si="158"/>
        <v>0</v>
      </c>
      <c r="GO208">
        <f t="shared" si="159"/>
        <v>0</v>
      </c>
      <c r="GP208">
        <f t="shared" si="160"/>
        <v>16420.830000000002</v>
      </c>
      <c r="GR208">
        <v>0</v>
      </c>
      <c r="GS208">
        <v>3</v>
      </c>
      <c r="GT208">
        <v>0</v>
      </c>
      <c r="GU208" t="s">
        <v>3</v>
      </c>
      <c r="GV208">
        <f t="shared" si="161"/>
        <v>0</v>
      </c>
      <c r="GW208">
        <v>1</v>
      </c>
      <c r="GX208">
        <f t="shared" si="162"/>
        <v>0</v>
      </c>
      <c r="HA208">
        <v>0</v>
      </c>
      <c r="HB208">
        <v>0</v>
      </c>
      <c r="HC208">
        <f t="shared" si="163"/>
        <v>0</v>
      </c>
      <c r="HE208" t="s">
        <v>3</v>
      </c>
      <c r="HF208" t="s">
        <v>3</v>
      </c>
      <c r="HM208" t="s">
        <v>3</v>
      </c>
      <c r="HN208" t="s">
        <v>262</v>
      </c>
      <c r="HO208" t="s">
        <v>263</v>
      </c>
      <c r="HP208" t="s">
        <v>255</v>
      </c>
      <c r="HQ208" t="s">
        <v>255</v>
      </c>
      <c r="IK208">
        <v>0</v>
      </c>
    </row>
    <row r="209" spans="1:245" x14ac:dyDescent="0.2">
      <c r="A209">
        <v>17</v>
      </c>
      <c r="B209">
        <v>1</v>
      </c>
      <c r="C209">
        <f>ROW(SmtRes!A182)</f>
        <v>182</v>
      </c>
      <c r="D209">
        <f>ROW(EtalonRes!A182)</f>
        <v>182</v>
      </c>
      <c r="E209" t="s">
        <v>273</v>
      </c>
      <c r="F209" t="s">
        <v>274</v>
      </c>
      <c r="G209" t="s">
        <v>275</v>
      </c>
      <c r="H209" t="s">
        <v>271</v>
      </c>
      <c r="I209">
        <v>12</v>
      </c>
      <c r="J209">
        <v>0</v>
      </c>
      <c r="K209">
        <v>12</v>
      </c>
      <c r="O209">
        <f t="shared" si="140"/>
        <v>12667.5</v>
      </c>
      <c r="P209">
        <f>SUMIF(SmtRes!AQ181:'SmtRes'!AQ182,"=1",SmtRes!DF181:'SmtRes'!DF182)</f>
        <v>0</v>
      </c>
      <c r="Q209">
        <f>SUMIF(SmtRes!AQ181:'SmtRes'!AQ182,"=1",SmtRes!DG181:'SmtRes'!DG182)</f>
        <v>0</v>
      </c>
      <c r="R209">
        <f>SUMIF(SmtRes!AQ181:'SmtRes'!AQ182,"=1",SmtRes!DH181:'SmtRes'!DH182)</f>
        <v>0</v>
      </c>
      <c r="S209">
        <f>SUMIF(SmtRes!AQ181:'SmtRes'!AQ182,"=1",SmtRes!DI181:'SmtRes'!DI182)</f>
        <v>12667.5</v>
      </c>
      <c r="T209">
        <f t="shared" si="141"/>
        <v>0</v>
      </c>
      <c r="U209">
        <f>SUMIF(SmtRes!AQ181:'SmtRes'!AQ182,"=1",SmtRes!CV181:'SmtRes'!CV182)</f>
        <v>19.440000000000001</v>
      </c>
      <c r="V209">
        <f>SUMIF(SmtRes!AQ181:'SmtRes'!AQ182,"=1",SmtRes!CW181:'SmtRes'!CW182)</f>
        <v>0</v>
      </c>
      <c r="W209">
        <f t="shared" si="142"/>
        <v>0</v>
      </c>
      <c r="X209">
        <f t="shared" si="143"/>
        <v>9373.9500000000007</v>
      </c>
      <c r="Y209">
        <f t="shared" si="143"/>
        <v>4560.3</v>
      </c>
      <c r="AA209">
        <v>65178645</v>
      </c>
      <c r="AB209">
        <f t="shared" si="144"/>
        <v>1055.6243999999999</v>
      </c>
      <c r="AC209">
        <f t="shared" si="145"/>
        <v>0</v>
      </c>
      <c r="AD209">
        <f t="shared" si="146"/>
        <v>0</v>
      </c>
      <c r="AE209">
        <f t="shared" si="147"/>
        <v>0</v>
      </c>
      <c r="AF209">
        <f>ROUND((SUM(SmtRes!BT181:'SmtRes'!BT182)),6)</f>
        <v>1055.6243999999999</v>
      </c>
      <c r="AG209">
        <f t="shared" si="148"/>
        <v>0</v>
      </c>
      <c r="AH209">
        <f>(SUM(SmtRes!BU181:'SmtRes'!BU182))</f>
        <v>1.62</v>
      </c>
      <c r="AI209">
        <f>(0)</f>
        <v>0</v>
      </c>
      <c r="AJ209">
        <f t="shared" si="149"/>
        <v>0</v>
      </c>
      <c r="AK209">
        <v>1055.6244000000002</v>
      </c>
      <c r="AL209">
        <v>0</v>
      </c>
      <c r="AM209">
        <v>0</v>
      </c>
      <c r="AN209">
        <v>0</v>
      </c>
      <c r="AO209">
        <v>1055.6244000000002</v>
      </c>
      <c r="AP209">
        <v>0</v>
      </c>
      <c r="AQ209">
        <v>1.62</v>
      </c>
      <c r="AR209">
        <v>0</v>
      </c>
      <c r="AS209">
        <v>0</v>
      </c>
      <c r="AT209">
        <v>74</v>
      </c>
      <c r="AU209">
        <v>36</v>
      </c>
      <c r="AV209">
        <v>1</v>
      </c>
      <c r="AW209">
        <v>1</v>
      </c>
      <c r="AZ209">
        <v>1</v>
      </c>
      <c r="BA209">
        <v>1</v>
      </c>
      <c r="BB209">
        <v>1</v>
      </c>
      <c r="BC209">
        <v>1</v>
      </c>
      <c r="BD209" t="s">
        <v>3</v>
      </c>
      <c r="BE209" t="s">
        <v>3</v>
      </c>
      <c r="BF209" t="s">
        <v>3</v>
      </c>
      <c r="BG209" t="s">
        <v>3</v>
      </c>
      <c r="BH209">
        <v>0</v>
      </c>
      <c r="BI209">
        <v>4</v>
      </c>
      <c r="BJ209" t="s">
        <v>276</v>
      </c>
      <c r="BM209">
        <v>200001</v>
      </c>
      <c r="BN209">
        <v>0</v>
      </c>
      <c r="BO209" t="s">
        <v>3</v>
      </c>
      <c r="BP209">
        <v>0</v>
      </c>
      <c r="BQ209">
        <v>4</v>
      </c>
      <c r="BR209">
        <v>0</v>
      </c>
      <c r="BS209">
        <v>1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3</v>
      </c>
      <c r="BZ209">
        <v>74</v>
      </c>
      <c r="CA209">
        <v>36</v>
      </c>
      <c r="CB209" t="s">
        <v>3</v>
      </c>
      <c r="CE209">
        <v>0</v>
      </c>
      <c r="CF209">
        <v>0</v>
      </c>
      <c r="CG209">
        <v>0</v>
      </c>
      <c r="CM209">
        <v>0</v>
      </c>
      <c r="CN209" t="s">
        <v>3</v>
      </c>
      <c r="CO209">
        <v>0</v>
      </c>
      <c r="CP209">
        <f t="shared" si="150"/>
        <v>12667.5</v>
      </c>
      <c r="CQ209">
        <f>SUMIF(SmtRes!AQ181:'SmtRes'!AQ182,"=1",SmtRes!AA181:'SmtRes'!AA182)</f>
        <v>0</v>
      </c>
      <c r="CR209">
        <f>SUMIF(SmtRes!AQ181:'SmtRes'!AQ182,"=1",SmtRes!AB181:'SmtRes'!AB182)</f>
        <v>0</v>
      </c>
      <c r="CS209">
        <f>SUMIF(SmtRes!AQ181:'SmtRes'!AQ182,"=1",SmtRes!AC181:'SmtRes'!AC182)</f>
        <v>0</v>
      </c>
      <c r="CT209">
        <f>SUMIF(SmtRes!AQ181:'SmtRes'!AQ182,"=1",SmtRes!AD181:'SmtRes'!AD182)</f>
        <v>1303.24</v>
      </c>
      <c r="CU209">
        <f t="shared" si="151"/>
        <v>0</v>
      </c>
      <c r="CV209">
        <f>SUMIF(SmtRes!AQ181:'SmtRes'!AQ182,"=1",SmtRes!BU181:'SmtRes'!BU182)</f>
        <v>1.62</v>
      </c>
      <c r="CW209">
        <f>SUMIF(SmtRes!AQ181:'SmtRes'!AQ182,"=1",SmtRes!BV181:'SmtRes'!BV182)</f>
        <v>0</v>
      </c>
      <c r="CX209">
        <f t="shared" si="152"/>
        <v>0</v>
      </c>
      <c r="CY209">
        <f t="shared" si="153"/>
        <v>9373.9500000000007</v>
      </c>
      <c r="CZ209">
        <f t="shared" si="154"/>
        <v>4560.3</v>
      </c>
      <c r="DC209" t="s">
        <v>3</v>
      </c>
      <c r="DD209" t="s">
        <v>3</v>
      </c>
      <c r="DE209" t="s">
        <v>3</v>
      </c>
      <c r="DF209" t="s">
        <v>3</v>
      </c>
      <c r="DG209" t="s">
        <v>3</v>
      </c>
      <c r="DH209" t="s">
        <v>3</v>
      </c>
      <c r="DI209" t="s">
        <v>3</v>
      </c>
      <c r="DJ209" t="s">
        <v>3</v>
      </c>
      <c r="DK209" t="s">
        <v>3</v>
      </c>
      <c r="DL209" t="s">
        <v>3</v>
      </c>
      <c r="DM209" t="s">
        <v>3</v>
      </c>
      <c r="DN209">
        <v>0</v>
      </c>
      <c r="DO209">
        <v>0</v>
      </c>
      <c r="DP209">
        <v>1</v>
      </c>
      <c r="DQ209">
        <v>1</v>
      </c>
      <c r="DU209">
        <v>1013</v>
      </c>
      <c r="DV209" t="s">
        <v>271</v>
      </c>
      <c r="DW209" t="s">
        <v>271</v>
      </c>
      <c r="DX209">
        <v>1</v>
      </c>
      <c r="DZ209" t="s">
        <v>3</v>
      </c>
      <c r="EA209" t="s">
        <v>3</v>
      </c>
      <c r="EB209" t="s">
        <v>3</v>
      </c>
      <c r="EC209" t="s">
        <v>3</v>
      </c>
      <c r="EE209">
        <v>64850927</v>
      </c>
      <c r="EF209">
        <v>4</v>
      </c>
      <c r="EG209" t="s">
        <v>255</v>
      </c>
      <c r="EH209">
        <v>83</v>
      </c>
      <c r="EI209" t="s">
        <v>255</v>
      </c>
      <c r="EJ209">
        <v>4</v>
      </c>
      <c r="EK209">
        <v>200001</v>
      </c>
      <c r="EL209" t="s">
        <v>260</v>
      </c>
      <c r="EM209" t="s">
        <v>261</v>
      </c>
      <c r="EO209" t="s">
        <v>3</v>
      </c>
      <c r="EQ209">
        <v>0</v>
      </c>
      <c r="ER209">
        <v>0</v>
      </c>
      <c r="ES209">
        <v>0</v>
      </c>
      <c r="ET209">
        <v>0</v>
      </c>
      <c r="EU209">
        <v>0</v>
      </c>
      <c r="EV209">
        <v>0</v>
      </c>
      <c r="EW209">
        <v>1.62</v>
      </c>
      <c r="EX209">
        <v>0</v>
      </c>
      <c r="EY209">
        <v>0</v>
      </c>
      <c r="FQ209">
        <v>0</v>
      </c>
      <c r="FR209">
        <f t="shared" si="155"/>
        <v>0</v>
      </c>
      <c r="FS209">
        <v>0</v>
      </c>
      <c r="FX209">
        <v>74</v>
      </c>
      <c r="FY209">
        <v>36</v>
      </c>
      <c r="GA209" t="s">
        <v>3</v>
      </c>
      <c r="GD209">
        <v>1</v>
      </c>
      <c r="GF209">
        <v>303085608</v>
      </c>
      <c r="GG209">
        <v>2</v>
      </c>
      <c r="GH209">
        <v>1</v>
      </c>
      <c r="GI209">
        <v>-2</v>
      </c>
      <c r="GJ209">
        <v>0</v>
      </c>
      <c r="GK209">
        <v>0</v>
      </c>
      <c r="GL209">
        <f t="shared" si="156"/>
        <v>0</v>
      </c>
      <c r="GM209">
        <f t="shared" si="157"/>
        <v>26601.75</v>
      </c>
      <c r="GN209">
        <f t="shared" si="158"/>
        <v>0</v>
      </c>
      <c r="GO209">
        <f t="shared" si="159"/>
        <v>0</v>
      </c>
      <c r="GP209">
        <f t="shared" si="160"/>
        <v>26601.75</v>
      </c>
      <c r="GR209">
        <v>0</v>
      </c>
      <c r="GS209">
        <v>3</v>
      </c>
      <c r="GT209">
        <v>0</v>
      </c>
      <c r="GU209" t="s">
        <v>3</v>
      </c>
      <c r="GV209">
        <f t="shared" si="161"/>
        <v>0</v>
      </c>
      <c r="GW209">
        <v>1</v>
      </c>
      <c r="GX209">
        <f t="shared" si="162"/>
        <v>0</v>
      </c>
      <c r="HA209">
        <v>0</v>
      </c>
      <c r="HB209">
        <v>0</v>
      </c>
      <c r="HC209">
        <f t="shared" si="163"/>
        <v>0</v>
      </c>
      <c r="HE209" t="s">
        <v>3</v>
      </c>
      <c r="HF209" t="s">
        <v>3</v>
      </c>
      <c r="HM209" t="s">
        <v>3</v>
      </c>
      <c r="HN209" t="s">
        <v>262</v>
      </c>
      <c r="HO209" t="s">
        <v>263</v>
      </c>
      <c r="HP209" t="s">
        <v>255</v>
      </c>
      <c r="HQ209" t="s">
        <v>255</v>
      </c>
      <c r="IK209">
        <v>0</v>
      </c>
    </row>
    <row r="210" spans="1:245" x14ac:dyDescent="0.2">
      <c r="A210">
        <v>17</v>
      </c>
      <c r="B210">
        <v>1</v>
      </c>
      <c r="C210">
        <f>ROW(SmtRes!A184)</f>
        <v>184</v>
      </c>
      <c r="D210">
        <f>ROW(EtalonRes!A184)</f>
        <v>184</v>
      </c>
      <c r="E210" t="s">
        <v>277</v>
      </c>
      <c r="F210" t="s">
        <v>278</v>
      </c>
      <c r="G210" t="s">
        <v>279</v>
      </c>
      <c r="H210" t="s">
        <v>271</v>
      </c>
      <c r="I210">
        <v>12</v>
      </c>
      <c r="J210">
        <v>0</v>
      </c>
      <c r="K210">
        <v>12</v>
      </c>
      <c r="O210">
        <f t="shared" si="140"/>
        <v>25334.98</v>
      </c>
      <c r="P210">
        <f>SUMIF(SmtRes!AQ183:'SmtRes'!AQ184,"=1",SmtRes!DF183:'SmtRes'!DF184)</f>
        <v>0</v>
      </c>
      <c r="Q210">
        <f>SUMIF(SmtRes!AQ183:'SmtRes'!AQ184,"=1",SmtRes!DG183:'SmtRes'!DG184)</f>
        <v>0</v>
      </c>
      <c r="R210">
        <f>SUMIF(SmtRes!AQ183:'SmtRes'!AQ184,"=1",SmtRes!DH183:'SmtRes'!DH184)</f>
        <v>0</v>
      </c>
      <c r="S210">
        <f>SUMIF(SmtRes!AQ183:'SmtRes'!AQ184,"=1",SmtRes!DI183:'SmtRes'!DI184)</f>
        <v>25334.980000000003</v>
      </c>
      <c r="T210">
        <f t="shared" si="141"/>
        <v>0</v>
      </c>
      <c r="U210">
        <f>SUMIF(SmtRes!AQ183:'SmtRes'!AQ184,"=1",SmtRes!CV183:'SmtRes'!CV184)</f>
        <v>38.880000000000003</v>
      </c>
      <c r="V210">
        <f>SUMIF(SmtRes!AQ183:'SmtRes'!AQ184,"=1",SmtRes!CW183:'SmtRes'!CW184)</f>
        <v>0</v>
      </c>
      <c r="W210">
        <f t="shared" si="142"/>
        <v>0</v>
      </c>
      <c r="X210">
        <f t="shared" si="143"/>
        <v>18747.89</v>
      </c>
      <c r="Y210">
        <f t="shared" si="143"/>
        <v>9120.59</v>
      </c>
      <c r="AA210">
        <v>65178645</v>
      </c>
      <c r="AB210">
        <f t="shared" si="144"/>
        <v>2111.2487999999998</v>
      </c>
      <c r="AC210">
        <f t="shared" si="145"/>
        <v>0</v>
      </c>
      <c r="AD210">
        <f t="shared" si="146"/>
        <v>0</v>
      </c>
      <c r="AE210">
        <f t="shared" si="147"/>
        <v>0</v>
      </c>
      <c r="AF210">
        <f>ROUND((SUM(SmtRes!BT183:'SmtRes'!BT184)),6)</f>
        <v>2111.2487999999998</v>
      </c>
      <c r="AG210">
        <f t="shared" si="148"/>
        <v>0</v>
      </c>
      <c r="AH210">
        <f>(SUM(SmtRes!BU183:'SmtRes'!BU184))</f>
        <v>3.24</v>
      </c>
      <c r="AI210">
        <f>(0)</f>
        <v>0</v>
      </c>
      <c r="AJ210">
        <f t="shared" si="149"/>
        <v>0</v>
      </c>
      <c r="AK210">
        <v>2111.2488000000003</v>
      </c>
      <c r="AL210">
        <v>0</v>
      </c>
      <c r="AM210">
        <v>0</v>
      </c>
      <c r="AN210">
        <v>0</v>
      </c>
      <c r="AO210">
        <v>2111.2488000000003</v>
      </c>
      <c r="AP210">
        <v>0</v>
      </c>
      <c r="AQ210">
        <v>3.24</v>
      </c>
      <c r="AR210">
        <v>0</v>
      </c>
      <c r="AS210">
        <v>0</v>
      </c>
      <c r="AT210">
        <v>74</v>
      </c>
      <c r="AU210">
        <v>36</v>
      </c>
      <c r="AV210">
        <v>1</v>
      </c>
      <c r="AW210">
        <v>1</v>
      </c>
      <c r="AZ210">
        <v>1</v>
      </c>
      <c r="BA210">
        <v>1</v>
      </c>
      <c r="BB210">
        <v>1</v>
      </c>
      <c r="BC210">
        <v>1</v>
      </c>
      <c r="BD210" t="s">
        <v>3</v>
      </c>
      <c r="BE210" t="s">
        <v>3</v>
      </c>
      <c r="BF210" t="s">
        <v>3</v>
      </c>
      <c r="BG210" t="s">
        <v>3</v>
      </c>
      <c r="BH210">
        <v>0</v>
      </c>
      <c r="BI210">
        <v>4</v>
      </c>
      <c r="BJ210" t="s">
        <v>280</v>
      </c>
      <c r="BM210">
        <v>200001</v>
      </c>
      <c r="BN210">
        <v>0</v>
      </c>
      <c r="BO210" t="s">
        <v>3</v>
      </c>
      <c r="BP210">
        <v>0</v>
      </c>
      <c r="BQ210">
        <v>4</v>
      </c>
      <c r="BR210">
        <v>0</v>
      </c>
      <c r="BS210">
        <v>1</v>
      </c>
      <c r="BT210">
        <v>1</v>
      </c>
      <c r="BU210">
        <v>1</v>
      </c>
      <c r="BV210">
        <v>1</v>
      </c>
      <c r="BW210">
        <v>1</v>
      </c>
      <c r="BX210">
        <v>1</v>
      </c>
      <c r="BY210" t="s">
        <v>3</v>
      </c>
      <c r="BZ210">
        <v>74</v>
      </c>
      <c r="CA210">
        <v>36</v>
      </c>
      <c r="CB210" t="s">
        <v>3</v>
      </c>
      <c r="CE210">
        <v>0</v>
      </c>
      <c r="CF210">
        <v>0</v>
      </c>
      <c r="CG210">
        <v>0</v>
      </c>
      <c r="CM210">
        <v>0</v>
      </c>
      <c r="CN210" t="s">
        <v>3</v>
      </c>
      <c r="CO210">
        <v>0</v>
      </c>
      <c r="CP210">
        <f t="shared" si="150"/>
        <v>25334.980000000003</v>
      </c>
      <c r="CQ210">
        <f>SUMIF(SmtRes!AQ183:'SmtRes'!AQ184,"=1",SmtRes!AA183:'SmtRes'!AA184)</f>
        <v>0</v>
      </c>
      <c r="CR210">
        <f>SUMIF(SmtRes!AQ183:'SmtRes'!AQ184,"=1",SmtRes!AB183:'SmtRes'!AB184)</f>
        <v>0</v>
      </c>
      <c r="CS210">
        <f>SUMIF(SmtRes!AQ183:'SmtRes'!AQ184,"=1",SmtRes!AC183:'SmtRes'!AC184)</f>
        <v>0</v>
      </c>
      <c r="CT210">
        <f>SUMIF(SmtRes!AQ183:'SmtRes'!AQ184,"=1",SmtRes!AD183:'SmtRes'!AD184)</f>
        <v>1303.24</v>
      </c>
      <c r="CU210">
        <f t="shared" si="151"/>
        <v>0</v>
      </c>
      <c r="CV210">
        <f>SUMIF(SmtRes!AQ183:'SmtRes'!AQ184,"=1",SmtRes!BU183:'SmtRes'!BU184)</f>
        <v>3.24</v>
      </c>
      <c r="CW210">
        <f>SUMIF(SmtRes!AQ183:'SmtRes'!AQ184,"=1",SmtRes!BV183:'SmtRes'!BV184)</f>
        <v>0</v>
      </c>
      <c r="CX210">
        <f t="shared" si="152"/>
        <v>0</v>
      </c>
      <c r="CY210">
        <f t="shared" si="153"/>
        <v>18747.885200000004</v>
      </c>
      <c r="CZ210">
        <f t="shared" si="154"/>
        <v>9120.5928000000022</v>
      </c>
      <c r="DC210" t="s">
        <v>3</v>
      </c>
      <c r="DD210" t="s">
        <v>3</v>
      </c>
      <c r="DE210" t="s">
        <v>3</v>
      </c>
      <c r="DF210" t="s">
        <v>3</v>
      </c>
      <c r="DG210" t="s">
        <v>3</v>
      </c>
      <c r="DH210" t="s">
        <v>3</v>
      </c>
      <c r="DI210" t="s">
        <v>3</v>
      </c>
      <c r="DJ210" t="s">
        <v>3</v>
      </c>
      <c r="DK210" t="s">
        <v>3</v>
      </c>
      <c r="DL210" t="s">
        <v>3</v>
      </c>
      <c r="DM210" t="s">
        <v>3</v>
      </c>
      <c r="DN210">
        <v>0</v>
      </c>
      <c r="DO210">
        <v>0</v>
      </c>
      <c r="DP210">
        <v>1</v>
      </c>
      <c r="DQ210">
        <v>1</v>
      </c>
      <c r="DU210">
        <v>1013</v>
      </c>
      <c r="DV210" t="s">
        <v>271</v>
      </c>
      <c r="DW210" t="s">
        <v>271</v>
      </c>
      <c r="DX210">
        <v>1</v>
      </c>
      <c r="DZ210" t="s">
        <v>3</v>
      </c>
      <c r="EA210" t="s">
        <v>3</v>
      </c>
      <c r="EB210" t="s">
        <v>3</v>
      </c>
      <c r="EC210" t="s">
        <v>3</v>
      </c>
      <c r="EE210">
        <v>64850927</v>
      </c>
      <c r="EF210">
        <v>4</v>
      </c>
      <c r="EG210" t="s">
        <v>255</v>
      </c>
      <c r="EH210">
        <v>83</v>
      </c>
      <c r="EI210" t="s">
        <v>255</v>
      </c>
      <c r="EJ210">
        <v>4</v>
      </c>
      <c r="EK210">
        <v>200001</v>
      </c>
      <c r="EL210" t="s">
        <v>260</v>
      </c>
      <c r="EM210" t="s">
        <v>261</v>
      </c>
      <c r="EO210" t="s">
        <v>3</v>
      </c>
      <c r="EQ210">
        <v>0</v>
      </c>
      <c r="ER210">
        <v>0</v>
      </c>
      <c r="ES210">
        <v>0</v>
      </c>
      <c r="ET210">
        <v>0</v>
      </c>
      <c r="EU210">
        <v>0</v>
      </c>
      <c r="EV210">
        <v>0</v>
      </c>
      <c r="EW210">
        <v>3.24</v>
      </c>
      <c r="EX210">
        <v>0</v>
      </c>
      <c r="EY210">
        <v>0</v>
      </c>
      <c r="FQ210">
        <v>0</v>
      </c>
      <c r="FR210">
        <f t="shared" si="155"/>
        <v>0</v>
      </c>
      <c r="FS210">
        <v>0</v>
      </c>
      <c r="FX210">
        <v>74</v>
      </c>
      <c r="FY210">
        <v>36</v>
      </c>
      <c r="GA210" t="s">
        <v>3</v>
      </c>
      <c r="GD210">
        <v>1</v>
      </c>
      <c r="GF210">
        <v>-949116092</v>
      </c>
      <c r="GG210">
        <v>2</v>
      </c>
      <c r="GH210">
        <v>1</v>
      </c>
      <c r="GI210">
        <v>-2</v>
      </c>
      <c r="GJ210">
        <v>0</v>
      </c>
      <c r="GK210">
        <v>0</v>
      </c>
      <c r="GL210">
        <f t="shared" si="156"/>
        <v>0</v>
      </c>
      <c r="GM210">
        <f t="shared" si="157"/>
        <v>53203.46</v>
      </c>
      <c r="GN210">
        <f t="shared" si="158"/>
        <v>0</v>
      </c>
      <c r="GO210">
        <f t="shared" si="159"/>
        <v>0</v>
      </c>
      <c r="GP210">
        <f t="shared" si="160"/>
        <v>53203.46</v>
      </c>
      <c r="GR210">
        <v>0</v>
      </c>
      <c r="GS210">
        <v>3</v>
      </c>
      <c r="GT210">
        <v>0</v>
      </c>
      <c r="GU210" t="s">
        <v>3</v>
      </c>
      <c r="GV210">
        <f t="shared" si="161"/>
        <v>0</v>
      </c>
      <c r="GW210">
        <v>1</v>
      </c>
      <c r="GX210">
        <f t="shared" si="162"/>
        <v>0</v>
      </c>
      <c r="HA210">
        <v>0</v>
      </c>
      <c r="HB210">
        <v>0</v>
      </c>
      <c r="HC210">
        <f t="shared" si="163"/>
        <v>0</v>
      </c>
      <c r="HE210" t="s">
        <v>3</v>
      </c>
      <c r="HF210" t="s">
        <v>3</v>
      </c>
      <c r="HM210" t="s">
        <v>3</v>
      </c>
      <c r="HN210" t="s">
        <v>262</v>
      </c>
      <c r="HO210" t="s">
        <v>263</v>
      </c>
      <c r="HP210" t="s">
        <v>255</v>
      </c>
      <c r="HQ210" t="s">
        <v>255</v>
      </c>
      <c r="IK210">
        <v>0</v>
      </c>
    </row>
    <row r="211" spans="1:245" x14ac:dyDescent="0.2">
      <c r="A211">
        <v>17</v>
      </c>
      <c r="B211">
        <v>1</v>
      </c>
      <c r="C211">
        <f>ROW(SmtRes!A186)</f>
        <v>186</v>
      </c>
      <c r="D211">
        <f>ROW(EtalonRes!A186)</f>
        <v>186</v>
      </c>
      <c r="E211" t="s">
        <v>281</v>
      </c>
      <c r="F211" t="s">
        <v>282</v>
      </c>
      <c r="G211" t="s">
        <v>283</v>
      </c>
      <c r="H211" t="s">
        <v>284</v>
      </c>
      <c r="I211">
        <f>ROUND(12/100,7)</f>
        <v>0.12</v>
      </c>
      <c r="J211">
        <v>0</v>
      </c>
      <c r="K211">
        <f>ROUND(12/100,7)</f>
        <v>0.12</v>
      </c>
      <c r="O211">
        <f t="shared" si="140"/>
        <v>1013.4</v>
      </c>
      <c r="P211">
        <f>SUMIF(SmtRes!AQ185:'SmtRes'!AQ186,"=1",SmtRes!DF185:'SmtRes'!DF186)</f>
        <v>0</v>
      </c>
      <c r="Q211">
        <f>SUMIF(SmtRes!AQ185:'SmtRes'!AQ186,"=1",SmtRes!DG185:'SmtRes'!DG186)</f>
        <v>0</v>
      </c>
      <c r="R211">
        <f>SUMIF(SmtRes!AQ185:'SmtRes'!AQ186,"=1",SmtRes!DH185:'SmtRes'!DH186)</f>
        <v>0</v>
      </c>
      <c r="S211">
        <f>SUMIF(SmtRes!AQ185:'SmtRes'!AQ186,"=1",SmtRes!DI185:'SmtRes'!DI186)</f>
        <v>1013.4</v>
      </c>
      <c r="T211">
        <f t="shared" si="141"/>
        <v>0</v>
      </c>
      <c r="U211">
        <f>SUMIF(SmtRes!AQ185:'SmtRes'!AQ186,"=1",SmtRes!CV185:'SmtRes'!CV186)</f>
        <v>1.5551999999999999</v>
      </c>
      <c r="V211">
        <f>SUMIF(SmtRes!AQ185:'SmtRes'!AQ186,"=1",SmtRes!CW185:'SmtRes'!CW186)</f>
        <v>0</v>
      </c>
      <c r="W211">
        <f t="shared" si="142"/>
        <v>0</v>
      </c>
      <c r="X211">
        <f t="shared" si="143"/>
        <v>749.92</v>
      </c>
      <c r="Y211">
        <f t="shared" si="143"/>
        <v>364.82</v>
      </c>
      <c r="AA211">
        <v>65178645</v>
      </c>
      <c r="AB211">
        <f t="shared" si="144"/>
        <v>8444.9951999999994</v>
      </c>
      <c r="AC211">
        <f t="shared" si="145"/>
        <v>0</v>
      </c>
      <c r="AD211">
        <f t="shared" si="146"/>
        <v>0</v>
      </c>
      <c r="AE211">
        <f t="shared" si="147"/>
        <v>0</v>
      </c>
      <c r="AF211">
        <f>ROUND((SUM(SmtRes!BT185:'SmtRes'!BT186)),6)</f>
        <v>8444.9951999999994</v>
      </c>
      <c r="AG211">
        <f t="shared" si="148"/>
        <v>0</v>
      </c>
      <c r="AH211">
        <f>(SUM(SmtRes!BU185:'SmtRes'!BU186))</f>
        <v>12.96</v>
      </c>
      <c r="AI211">
        <f>(0)</f>
        <v>0</v>
      </c>
      <c r="AJ211">
        <f t="shared" si="149"/>
        <v>0</v>
      </c>
      <c r="AK211">
        <v>8444.9952000000012</v>
      </c>
      <c r="AL211">
        <v>0</v>
      </c>
      <c r="AM211">
        <v>0</v>
      </c>
      <c r="AN211">
        <v>0</v>
      </c>
      <c r="AO211">
        <v>8444.9952000000012</v>
      </c>
      <c r="AP211">
        <v>0</v>
      </c>
      <c r="AQ211">
        <v>12.96</v>
      </c>
      <c r="AR211">
        <v>0</v>
      </c>
      <c r="AS211">
        <v>0</v>
      </c>
      <c r="AT211">
        <v>74</v>
      </c>
      <c r="AU211">
        <v>36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1</v>
      </c>
      <c r="BD211" t="s">
        <v>3</v>
      </c>
      <c r="BE211" t="s">
        <v>3</v>
      </c>
      <c r="BF211" t="s">
        <v>3</v>
      </c>
      <c r="BG211" t="s">
        <v>3</v>
      </c>
      <c r="BH211">
        <v>0</v>
      </c>
      <c r="BI211">
        <v>4</v>
      </c>
      <c r="BJ211" t="s">
        <v>285</v>
      </c>
      <c r="BM211">
        <v>200001</v>
      </c>
      <c r="BN211">
        <v>0</v>
      </c>
      <c r="BO211" t="s">
        <v>3</v>
      </c>
      <c r="BP211">
        <v>0</v>
      </c>
      <c r="BQ211">
        <v>4</v>
      </c>
      <c r="BR211">
        <v>0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74</v>
      </c>
      <c r="CA211">
        <v>36</v>
      </c>
      <c r="CB211" t="s">
        <v>3</v>
      </c>
      <c r="CE211">
        <v>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si="150"/>
        <v>1013.4</v>
      </c>
      <c r="CQ211">
        <f>SUMIF(SmtRes!AQ185:'SmtRes'!AQ186,"=1",SmtRes!AA185:'SmtRes'!AA186)</f>
        <v>0</v>
      </c>
      <c r="CR211">
        <f>SUMIF(SmtRes!AQ185:'SmtRes'!AQ186,"=1",SmtRes!AB185:'SmtRes'!AB186)</f>
        <v>0</v>
      </c>
      <c r="CS211">
        <f>SUMIF(SmtRes!AQ185:'SmtRes'!AQ186,"=1",SmtRes!AC185:'SmtRes'!AC186)</f>
        <v>0</v>
      </c>
      <c r="CT211">
        <f>SUMIF(SmtRes!AQ185:'SmtRes'!AQ186,"=1",SmtRes!AD185:'SmtRes'!AD186)</f>
        <v>1303.24</v>
      </c>
      <c r="CU211">
        <f t="shared" si="151"/>
        <v>0</v>
      </c>
      <c r="CV211">
        <f>SUMIF(SmtRes!AQ185:'SmtRes'!AQ186,"=1",SmtRes!BU185:'SmtRes'!BU186)</f>
        <v>12.96</v>
      </c>
      <c r="CW211">
        <f>SUMIF(SmtRes!AQ185:'SmtRes'!AQ186,"=1",SmtRes!BV185:'SmtRes'!BV186)</f>
        <v>0</v>
      </c>
      <c r="CX211">
        <f t="shared" si="152"/>
        <v>0</v>
      </c>
      <c r="CY211">
        <f t="shared" si="153"/>
        <v>749.91599999999994</v>
      </c>
      <c r="CZ211">
        <f t="shared" si="154"/>
        <v>364.82400000000001</v>
      </c>
      <c r="DC211" t="s">
        <v>3</v>
      </c>
      <c r="DD211" t="s">
        <v>3</v>
      </c>
      <c r="DE211" t="s">
        <v>3</v>
      </c>
      <c r="DF211" t="s">
        <v>3</v>
      </c>
      <c r="DG211" t="s">
        <v>3</v>
      </c>
      <c r="DH211" t="s">
        <v>3</v>
      </c>
      <c r="DI211" t="s">
        <v>3</v>
      </c>
      <c r="DJ211" t="s">
        <v>3</v>
      </c>
      <c r="DK211" t="s">
        <v>3</v>
      </c>
      <c r="DL211" t="s">
        <v>3</v>
      </c>
      <c r="DM211" t="s">
        <v>3</v>
      </c>
      <c r="DN211">
        <v>0</v>
      </c>
      <c r="DO211">
        <v>0</v>
      </c>
      <c r="DP211">
        <v>1</v>
      </c>
      <c r="DQ211">
        <v>1</v>
      </c>
      <c r="DU211">
        <v>1013</v>
      </c>
      <c r="DV211" t="s">
        <v>284</v>
      </c>
      <c r="DW211" t="s">
        <v>284</v>
      </c>
      <c r="DX211">
        <v>1</v>
      </c>
      <c r="DZ211" t="s">
        <v>3</v>
      </c>
      <c r="EA211" t="s">
        <v>3</v>
      </c>
      <c r="EB211" t="s">
        <v>3</v>
      </c>
      <c r="EC211" t="s">
        <v>3</v>
      </c>
      <c r="EE211">
        <v>64850927</v>
      </c>
      <c r="EF211">
        <v>4</v>
      </c>
      <c r="EG211" t="s">
        <v>255</v>
      </c>
      <c r="EH211">
        <v>83</v>
      </c>
      <c r="EI211" t="s">
        <v>255</v>
      </c>
      <c r="EJ211">
        <v>4</v>
      </c>
      <c r="EK211">
        <v>200001</v>
      </c>
      <c r="EL211" t="s">
        <v>260</v>
      </c>
      <c r="EM211" t="s">
        <v>261</v>
      </c>
      <c r="EO211" t="s">
        <v>3</v>
      </c>
      <c r="EQ211">
        <v>0</v>
      </c>
      <c r="ER211">
        <v>0</v>
      </c>
      <c r="ES211">
        <v>0</v>
      </c>
      <c r="ET211">
        <v>0</v>
      </c>
      <c r="EU211">
        <v>0</v>
      </c>
      <c r="EV211">
        <v>0</v>
      </c>
      <c r="EW211">
        <v>12.96</v>
      </c>
      <c r="EX211">
        <v>0</v>
      </c>
      <c r="EY211">
        <v>0</v>
      </c>
      <c r="FQ211">
        <v>0</v>
      </c>
      <c r="FR211">
        <f t="shared" si="155"/>
        <v>0</v>
      </c>
      <c r="FS211">
        <v>0</v>
      </c>
      <c r="FX211">
        <v>74</v>
      </c>
      <c r="FY211">
        <v>36</v>
      </c>
      <c r="GA211" t="s">
        <v>3</v>
      </c>
      <c r="GD211">
        <v>1</v>
      </c>
      <c r="GF211">
        <v>1710028342</v>
      </c>
      <c r="GG211">
        <v>2</v>
      </c>
      <c r="GH211">
        <v>1</v>
      </c>
      <c r="GI211">
        <v>-2</v>
      </c>
      <c r="GJ211">
        <v>0</v>
      </c>
      <c r="GK211">
        <v>0</v>
      </c>
      <c r="GL211">
        <f t="shared" si="156"/>
        <v>0</v>
      </c>
      <c r="GM211">
        <f t="shared" si="157"/>
        <v>2128.14</v>
      </c>
      <c r="GN211">
        <f t="shared" si="158"/>
        <v>0</v>
      </c>
      <c r="GO211">
        <f t="shared" si="159"/>
        <v>0</v>
      </c>
      <c r="GP211">
        <f t="shared" si="160"/>
        <v>2128.14</v>
      </c>
      <c r="GR211">
        <v>0</v>
      </c>
      <c r="GS211">
        <v>3</v>
      </c>
      <c r="GT211">
        <v>0</v>
      </c>
      <c r="GU211" t="s">
        <v>3</v>
      </c>
      <c r="GV211">
        <f t="shared" si="161"/>
        <v>0</v>
      </c>
      <c r="GW211">
        <v>1</v>
      </c>
      <c r="GX211">
        <f t="shared" si="162"/>
        <v>0</v>
      </c>
      <c r="HA211">
        <v>0</v>
      </c>
      <c r="HB211">
        <v>0</v>
      </c>
      <c r="HC211">
        <f t="shared" si="163"/>
        <v>0</v>
      </c>
      <c r="HE211" t="s">
        <v>3</v>
      </c>
      <c r="HF211" t="s">
        <v>3</v>
      </c>
      <c r="HM211" t="s">
        <v>3</v>
      </c>
      <c r="HN211" t="s">
        <v>262</v>
      </c>
      <c r="HO211" t="s">
        <v>263</v>
      </c>
      <c r="HP211" t="s">
        <v>255</v>
      </c>
      <c r="HQ211" t="s">
        <v>255</v>
      </c>
      <c r="IK211">
        <v>0</v>
      </c>
    </row>
    <row r="213" spans="1:245" x14ac:dyDescent="0.2">
      <c r="A213" s="2">
        <v>51</v>
      </c>
      <c r="B213" s="2">
        <f>B202</f>
        <v>1</v>
      </c>
      <c r="C213" s="2">
        <f>A202</f>
        <v>4</v>
      </c>
      <c r="D213" s="2">
        <f>ROW(A202)</f>
        <v>202</v>
      </c>
      <c r="E213" s="2"/>
      <c r="F213" s="2" t="str">
        <f>IF(F202&lt;&gt;"",F202,"")</f>
        <v>Новый раздел</v>
      </c>
      <c r="G213" s="2" t="str">
        <f>IF(G202&lt;&gt;"",G202,"")</f>
        <v>Пусконаладочные работы</v>
      </c>
      <c r="H213" s="2">
        <v>0</v>
      </c>
      <c r="I213" s="2"/>
      <c r="J213" s="2"/>
      <c r="K213" s="2"/>
      <c r="L213" s="2"/>
      <c r="M213" s="2"/>
      <c r="N213" s="2"/>
      <c r="O213" s="2">
        <f t="shared" ref="O213:T213" si="164">ROUND(AB213,2)</f>
        <v>52778.080000000002</v>
      </c>
      <c r="P213" s="2">
        <f t="shared" si="164"/>
        <v>0</v>
      </c>
      <c r="Q213" s="2">
        <f t="shared" si="164"/>
        <v>0</v>
      </c>
      <c r="R213" s="2">
        <f t="shared" si="164"/>
        <v>0</v>
      </c>
      <c r="S213" s="2">
        <f t="shared" si="164"/>
        <v>52778.080000000002</v>
      </c>
      <c r="T213" s="2">
        <f t="shared" si="164"/>
        <v>0</v>
      </c>
      <c r="U213" s="2">
        <f>AH213</f>
        <v>80.995199999999997</v>
      </c>
      <c r="V213" s="2">
        <f>AI213</f>
        <v>0</v>
      </c>
      <c r="W213" s="2">
        <f>ROUND(AJ213,2)</f>
        <v>0</v>
      </c>
      <c r="X213" s="2">
        <f>ROUND(AK213,2)</f>
        <v>39055.79</v>
      </c>
      <c r="Y213" s="2">
        <f>ROUND(AL213,2)</f>
        <v>19000.099999999999</v>
      </c>
      <c r="Z213" s="2"/>
      <c r="AA213" s="2"/>
      <c r="AB213" s="2">
        <f>ROUND(SUMIF(AA206:AA211,"=65178645",O206:O211),2)</f>
        <v>52778.080000000002</v>
      </c>
      <c r="AC213" s="2">
        <f>ROUND(SUMIF(AA206:AA211,"=65178645",P206:P211),2)</f>
        <v>0</v>
      </c>
      <c r="AD213" s="2">
        <f>ROUND(SUMIF(AA206:AA211,"=65178645",Q206:Q211),2)</f>
        <v>0</v>
      </c>
      <c r="AE213" s="2">
        <f>ROUND(SUMIF(AA206:AA211,"=65178645",R206:R211),2)</f>
        <v>0</v>
      </c>
      <c r="AF213" s="2">
        <f>ROUND(SUMIF(AA206:AA211,"=65178645",S206:S211),2)</f>
        <v>52778.080000000002</v>
      </c>
      <c r="AG213" s="2">
        <f>ROUND(SUMIF(AA206:AA211,"=65178645",T206:T211),2)</f>
        <v>0</v>
      </c>
      <c r="AH213" s="2">
        <f>SUMIF(AA206:AA211,"=65178645",U206:U211)</f>
        <v>80.995199999999997</v>
      </c>
      <c r="AI213" s="2">
        <f>SUMIF(AA206:AA211,"=65178645",V206:V211)</f>
        <v>0</v>
      </c>
      <c r="AJ213" s="2">
        <f>ROUND(SUMIF(AA206:AA211,"=65178645",W206:W211),2)</f>
        <v>0</v>
      </c>
      <c r="AK213" s="2">
        <f>ROUND(SUMIF(AA206:AA211,"=65178645",X206:X211),2)</f>
        <v>39055.79</v>
      </c>
      <c r="AL213" s="2">
        <f>ROUND(SUMIF(AA206:AA211,"=65178645",Y206:Y211),2)</f>
        <v>19000.099999999999</v>
      </c>
      <c r="AM213" s="2"/>
      <c r="AN213" s="2"/>
      <c r="AO213" s="2">
        <f t="shared" ref="AO213:BD213" si="165">ROUND(BX213,2)</f>
        <v>0</v>
      </c>
      <c r="AP213" s="2">
        <f t="shared" si="165"/>
        <v>0</v>
      </c>
      <c r="AQ213" s="2">
        <f t="shared" si="165"/>
        <v>0</v>
      </c>
      <c r="AR213" s="2">
        <f t="shared" si="165"/>
        <v>110833.97</v>
      </c>
      <c r="AS213" s="2">
        <f t="shared" si="165"/>
        <v>0</v>
      </c>
      <c r="AT213" s="2">
        <f t="shared" si="165"/>
        <v>0</v>
      </c>
      <c r="AU213" s="2">
        <f t="shared" si="165"/>
        <v>110833.97</v>
      </c>
      <c r="AV213" s="2">
        <f t="shared" si="165"/>
        <v>0</v>
      </c>
      <c r="AW213" s="2">
        <f t="shared" si="165"/>
        <v>0</v>
      </c>
      <c r="AX213" s="2">
        <f t="shared" si="165"/>
        <v>0</v>
      </c>
      <c r="AY213" s="2">
        <f t="shared" si="165"/>
        <v>0</v>
      </c>
      <c r="AZ213" s="2">
        <f t="shared" si="165"/>
        <v>0</v>
      </c>
      <c r="BA213" s="2">
        <f t="shared" si="165"/>
        <v>0</v>
      </c>
      <c r="BB213" s="2">
        <f t="shared" si="165"/>
        <v>0</v>
      </c>
      <c r="BC213" s="2">
        <f t="shared" si="165"/>
        <v>0</v>
      </c>
      <c r="BD213" s="2">
        <f t="shared" si="165"/>
        <v>0</v>
      </c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>
        <f>ROUND(SUMIF(AA206:AA211,"=65178645",FQ206:FQ211),2)</f>
        <v>0</v>
      </c>
      <c r="BY213" s="2">
        <f>ROUND(SUMIF(AA206:AA211,"=65178645",FR206:FR211),2)</f>
        <v>0</v>
      </c>
      <c r="BZ213" s="2">
        <f>ROUND(SUMIF(AA206:AA211,"=65178645",GL206:GL211),2)</f>
        <v>0</v>
      </c>
      <c r="CA213" s="2">
        <f>ROUND(SUMIF(AA206:AA211,"=65178645",GM206:GM211),2)</f>
        <v>110833.97</v>
      </c>
      <c r="CB213" s="2">
        <f>ROUND(SUMIF(AA206:AA211,"=65178645",GN206:GN211),2)</f>
        <v>0</v>
      </c>
      <c r="CC213" s="2">
        <f>ROUND(SUMIF(AA206:AA211,"=65178645",GO206:GO211),2)</f>
        <v>0</v>
      </c>
      <c r="CD213" s="2">
        <f>ROUND(SUMIF(AA206:AA211,"=65178645",GP206:GP211),2)</f>
        <v>110833.97</v>
      </c>
      <c r="CE213" s="2">
        <f>AC213-BX213</f>
        <v>0</v>
      </c>
      <c r="CF213" s="2">
        <f>AC213-BY213</f>
        <v>0</v>
      </c>
      <c r="CG213" s="2">
        <f>BX213-BZ213</f>
        <v>0</v>
      </c>
      <c r="CH213" s="2">
        <f>AC213-BX213-BY213+BZ213</f>
        <v>0</v>
      </c>
      <c r="CI213" s="2">
        <f>BY213-BZ213</f>
        <v>0</v>
      </c>
      <c r="CJ213" s="2">
        <f>ROUND(SUMIF(AA206:AA211,"=65178645",GX206:GX211),2)</f>
        <v>0</v>
      </c>
      <c r="CK213" s="2">
        <f>ROUND(SUMIF(AA206:AA211,"=65178645",GY206:GY211),2)</f>
        <v>0</v>
      </c>
      <c r="CL213" s="2">
        <f>ROUND(SUMIF(AA206:AA211,"=65178645",GZ206:GZ211),2)</f>
        <v>0</v>
      </c>
      <c r="CM213" s="2">
        <f>ROUND(SUMIF(AA206:AA211,"=65178645",HD206:HD211),2)</f>
        <v>0</v>
      </c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3"/>
      <c r="DH213" s="3"/>
      <c r="DI213" s="3"/>
      <c r="DJ213" s="3"/>
      <c r="DK213" s="3"/>
      <c r="DL213" s="3"/>
      <c r="DM213" s="3"/>
      <c r="DN213" s="3"/>
      <c r="DO213" s="3"/>
      <c r="DP213" s="3"/>
      <c r="DQ213" s="3"/>
      <c r="DR213" s="3"/>
      <c r="DS213" s="3"/>
      <c r="DT213" s="3"/>
      <c r="DU213" s="3"/>
      <c r="DV213" s="3"/>
      <c r="DW213" s="3"/>
      <c r="DX213" s="3"/>
      <c r="DY213" s="3"/>
      <c r="DZ213" s="3"/>
      <c r="EA213" s="3"/>
      <c r="EB213" s="3"/>
      <c r="EC213" s="3"/>
      <c r="ED213" s="3"/>
      <c r="EE213" s="3"/>
      <c r="EF213" s="3"/>
      <c r="EG213" s="3"/>
      <c r="EH213" s="3"/>
      <c r="EI213" s="3"/>
      <c r="EJ213" s="3"/>
      <c r="EK213" s="3"/>
      <c r="EL213" s="3"/>
      <c r="EM213" s="3"/>
      <c r="EN213" s="3"/>
      <c r="EO213" s="3"/>
      <c r="EP213" s="3"/>
      <c r="EQ213" s="3"/>
      <c r="ER213" s="3"/>
      <c r="ES213" s="3"/>
      <c r="ET213" s="3"/>
      <c r="EU213" s="3"/>
      <c r="EV213" s="3"/>
      <c r="EW213" s="3"/>
      <c r="EX213" s="3"/>
      <c r="EY213" s="3"/>
      <c r="EZ213" s="3"/>
      <c r="FA213" s="3"/>
      <c r="FB213" s="3"/>
      <c r="FC213" s="3"/>
      <c r="FD213" s="3"/>
      <c r="FE213" s="3"/>
      <c r="FF213" s="3"/>
      <c r="FG213" s="3"/>
      <c r="FH213" s="3"/>
      <c r="FI213" s="3"/>
      <c r="FJ213" s="3"/>
      <c r="FK213" s="3"/>
      <c r="FL213" s="3"/>
      <c r="FM213" s="3"/>
      <c r="FN213" s="3"/>
      <c r="FO213" s="3"/>
      <c r="FP213" s="3"/>
      <c r="FQ213" s="3"/>
      <c r="FR213" s="3"/>
      <c r="FS213" s="3"/>
      <c r="FT213" s="3"/>
      <c r="FU213" s="3"/>
      <c r="FV213" s="3"/>
      <c r="FW213" s="3"/>
      <c r="FX213" s="3"/>
      <c r="FY213" s="3"/>
      <c r="FZ213" s="3"/>
      <c r="GA213" s="3"/>
      <c r="GB213" s="3"/>
      <c r="GC213" s="3"/>
      <c r="GD213" s="3"/>
      <c r="GE213" s="3"/>
      <c r="GF213" s="3"/>
      <c r="GG213" s="3"/>
      <c r="GH213" s="3"/>
      <c r="GI213" s="3"/>
      <c r="GJ213" s="3"/>
      <c r="GK213" s="3"/>
      <c r="GL213" s="3"/>
      <c r="GM213" s="3"/>
      <c r="GN213" s="3"/>
      <c r="GO213" s="3"/>
      <c r="GP213" s="3"/>
      <c r="GQ213" s="3"/>
      <c r="GR213" s="3"/>
      <c r="GS213" s="3"/>
      <c r="GT213" s="3"/>
      <c r="GU213" s="3"/>
      <c r="GV213" s="3"/>
      <c r="GW213" s="3"/>
      <c r="GX213" s="3">
        <v>0</v>
      </c>
    </row>
    <row r="215" spans="1:245" x14ac:dyDescent="0.2">
      <c r="A215" s="4">
        <v>50</v>
      </c>
      <c r="B215" s="4">
        <v>0</v>
      </c>
      <c r="C215" s="4">
        <v>0</v>
      </c>
      <c r="D215" s="4">
        <v>1</v>
      </c>
      <c r="E215" s="4">
        <v>201</v>
      </c>
      <c r="F215" s="4">
        <f>ROUND(Source!O213,O215)</f>
        <v>52778.080000000002</v>
      </c>
      <c r="G215" s="4" t="s">
        <v>17</v>
      </c>
      <c r="H215" s="4" t="s">
        <v>18</v>
      </c>
      <c r="I215" s="4"/>
      <c r="J215" s="4"/>
      <c r="K215" s="4">
        <v>201</v>
      </c>
      <c r="L215" s="4">
        <v>1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52778.080000000009</v>
      </c>
      <c r="X215" s="4">
        <v>1</v>
      </c>
      <c r="Y215" s="4">
        <v>52778.080000000009</v>
      </c>
      <c r="Z215" s="4"/>
      <c r="AA215" s="4"/>
      <c r="AB215" s="4"/>
    </row>
    <row r="216" spans="1:245" x14ac:dyDescent="0.2">
      <c r="A216" s="4">
        <v>50</v>
      </c>
      <c r="B216" s="4">
        <v>0</v>
      </c>
      <c r="C216" s="4">
        <v>0</v>
      </c>
      <c r="D216" s="4">
        <v>1</v>
      </c>
      <c r="E216" s="4">
        <v>202</v>
      </c>
      <c r="F216" s="4">
        <f>ROUND(Source!P213,O216)</f>
        <v>0</v>
      </c>
      <c r="G216" s="4" t="s">
        <v>19</v>
      </c>
      <c r="H216" s="4" t="s">
        <v>20</v>
      </c>
      <c r="I216" s="4"/>
      <c r="J216" s="4"/>
      <c r="K216" s="4">
        <v>202</v>
      </c>
      <c r="L216" s="4">
        <v>2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45" x14ac:dyDescent="0.2">
      <c r="A217" s="4">
        <v>50</v>
      </c>
      <c r="B217" s="4">
        <v>0</v>
      </c>
      <c r="C217" s="4">
        <v>0</v>
      </c>
      <c r="D217" s="4">
        <v>1</v>
      </c>
      <c r="E217" s="4">
        <v>222</v>
      </c>
      <c r="F217" s="4">
        <f>ROUND(Source!AO213,O217)</f>
        <v>0</v>
      </c>
      <c r="G217" s="4" t="s">
        <v>21</v>
      </c>
      <c r="H217" s="4" t="s">
        <v>22</v>
      </c>
      <c r="I217" s="4"/>
      <c r="J217" s="4"/>
      <c r="K217" s="4">
        <v>222</v>
      </c>
      <c r="L217" s="4">
        <v>3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45" x14ac:dyDescent="0.2">
      <c r="A218" s="4">
        <v>50</v>
      </c>
      <c r="B218" s="4">
        <v>0</v>
      </c>
      <c r="C218" s="4">
        <v>0</v>
      </c>
      <c r="D218" s="4">
        <v>1</v>
      </c>
      <c r="E218" s="4">
        <v>225</v>
      </c>
      <c r="F218" s="4">
        <f>ROUND(Source!AV213,O218)</f>
        <v>0</v>
      </c>
      <c r="G218" s="4" t="s">
        <v>23</v>
      </c>
      <c r="H218" s="4" t="s">
        <v>24</v>
      </c>
      <c r="I218" s="4"/>
      <c r="J218" s="4"/>
      <c r="K218" s="4">
        <v>225</v>
      </c>
      <c r="L218" s="4">
        <v>4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45" x14ac:dyDescent="0.2">
      <c r="A219" s="4">
        <v>50</v>
      </c>
      <c r="B219" s="4">
        <v>0</v>
      </c>
      <c r="C219" s="4">
        <v>0</v>
      </c>
      <c r="D219" s="4">
        <v>1</v>
      </c>
      <c r="E219" s="4">
        <v>226</v>
      </c>
      <c r="F219" s="4">
        <f>ROUND(Source!AW213,O219)</f>
        <v>0</v>
      </c>
      <c r="G219" s="4" t="s">
        <v>25</v>
      </c>
      <c r="H219" s="4" t="s">
        <v>26</v>
      </c>
      <c r="I219" s="4"/>
      <c r="J219" s="4"/>
      <c r="K219" s="4">
        <v>226</v>
      </c>
      <c r="L219" s="4">
        <v>5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45" x14ac:dyDescent="0.2">
      <c r="A220" s="4">
        <v>50</v>
      </c>
      <c r="B220" s="4">
        <v>0</v>
      </c>
      <c r="C220" s="4">
        <v>0</v>
      </c>
      <c r="D220" s="4">
        <v>1</v>
      </c>
      <c r="E220" s="4">
        <v>227</v>
      </c>
      <c r="F220" s="4">
        <f>ROUND(Source!AX213,O220)</f>
        <v>0</v>
      </c>
      <c r="G220" s="4" t="s">
        <v>27</v>
      </c>
      <c r="H220" s="4" t="s">
        <v>28</v>
      </c>
      <c r="I220" s="4"/>
      <c r="J220" s="4"/>
      <c r="K220" s="4">
        <v>227</v>
      </c>
      <c r="L220" s="4">
        <v>6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45" x14ac:dyDescent="0.2">
      <c r="A221" s="4">
        <v>50</v>
      </c>
      <c r="B221" s="4">
        <v>0</v>
      </c>
      <c r="C221" s="4">
        <v>0</v>
      </c>
      <c r="D221" s="4">
        <v>1</v>
      </c>
      <c r="E221" s="4">
        <v>228</v>
      </c>
      <c r="F221" s="4">
        <f>ROUND(Source!AY213,O221)</f>
        <v>0</v>
      </c>
      <c r="G221" s="4" t="s">
        <v>29</v>
      </c>
      <c r="H221" s="4" t="s">
        <v>30</v>
      </c>
      <c r="I221" s="4"/>
      <c r="J221" s="4"/>
      <c r="K221" s="4">
        <v>228</v>
      </c>
      <c r="L221" s="4">
        <v>7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45" x14ac:dyDescent="0.2">
      <c r="A222" s="4">
        <v>50</v>
      </c>
      <c r="B222" s="4">
        <v>0</v>
      </c>
      <c r="C222" s="4">
        <v>0</v>
      </c>
      <c r="D222" s="4">
        <v>1</v>
      </c>
      <c r="E222" s="4">
        <v>216</v>
      </c>
      <c r="F222" s="4">
        <f>ROUND(Source!AP213,O222)</f>
        <v>0</v>
      </c>
      <c r="G222" s="4" t="s">
        <v>31</v>
      </c>
      <c r="H222" s="4" t="s">
        <v>32</v>
      </c>
      <c r="I222" s="4"/>
      <c r="J222" s="4"/>
      <c r="K222" s="4">
        <v>216</v>
      </c>
      <c r="L222" s="4">
        <v>8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45" x14ac:dyDescent="0.2">
      <c r="A223" s="4">
        <v>50</v>
      </c>
      <c r="B223" s="4">
        <v>0</v>
      </c>
      <c r="C223" s="4">
        <v>0</v>
      </c>
      <c r="D223" s="4">
        <v>1</v>
      </c>
      <c r="E223" s="4">
        <v>223</v>
      </c>
      <c r="F223" s="4">
        <f>ROUND(Source!AQ213,O223)</f>
        <v>0</v>
      </c>
      <c r="G223" s="4" t="s">
        <v>33</v>
      </c>
      <c r="H223" s="4" t="s">
        <v>34</v>
      </c>
      <c r="I223" s="4"/>
      <c r="J223" s="4"/>
      <c r="K223" s="4">
        <v>223</v>
      </c>
      <c r="L223" s="4">
        <v>9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45" x14ac:dyDescent="0.2">
      <c r="A224" s="4">
        <v>50</v>
      </c>
      <c r="B224" s="4">
        <v>0</v>
      </c>
      <c r="C224" s="4">
        <v>0</v>
      </c>
      <c r="D224" s="4">
        <v>1</v>
      </c>
      <c r="E224" s="4">
        <v>229</v>
      </c>
      <c r="F224" s="4">
        <f>ROUND(Source!AZ213,O224)</f>
        <v>0</v>
      </c>
      <c r="G224" s="4" t="s">
        <v>35</v>
      </c>
      <c r="H224" s="4" t="s">
        <v>36</v>
      </c>
      <c r="I224" s="4"/>
      <c r="J224" s="4"/>
      <c r="K224" s="4">
        <v>229</v>
      </c>
      <c r="L224" s="4">
        <v>10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8" x14ac:dyDescent="0.2">
      <c r="A225" s="4">
        <v>50</v>
      </c>
      <c r="B225" s="4">
        <v>0</v>
      </c>
      <c r="C225" s="4">
        <v>0</v>
      </c>
      <c r="D225" s="4">
        <v>1</v>
      </c>
      <c r="E225" s="4">
        <v>203</v>
      </c>
      <c r="F225" s="4">
        <f>ROUND(Source!Q213,O225)</f>
        <v>0</v>
      </c>
      <c r="G225" s="4" t="s">
        <v>37</v>
      </c>
      <c r="H225" s="4" t="s">
        <v>38</v>
      </c>
      <c r="I225" s="4"/>
      <c r="J225" s="4"/>
      <c r="K225" s="4">
        <v>203</v>
      </c>
      <c r="L225" s="4">
        <v>11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231</v>
      </c>
      <c r="F226" s="4">
        <f>ROUND(Source!BB213,O226)</f>
        <v>0</v>
      </c>
      <c r="G226" s="4" t="s">
        <v>39</v>
      </c>
      <c r="H226" s="4" t="s">
        <v>40</v>
      </c>
      <c r="I226" s="4"/>
      <c r="J226" s="4"/>
      <c r="K226" s="4">
        <v>231</v>
      </c>
      <c r="L226" s="4">
        <v>12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204</v>
      </c>
      <c r="F227" s="4">
        <f>ROUND(Source!R213,O227)</f>
        <v>0</v>
      </c>
      <c r="G227" s="4" t="s">
        <v>41</v>
      </c>
      <c r="H227" s="4" t="s">
        <v>42</v>
      </c>
      <c r="I227" s="4"/>
      <c r="J227" s="4"/>
      <c r="K227" s="4">
        <v>204</v>
      </c>
      <c r="L227" s="4">
        <v>13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8" x14ac:dyDescent="0.2">
      <c r="A228" s="4">
        <v>50</v>
      </c>
      <c r="B228" s="4">
        <v>0</v>
      </c>
      <c r="C228" s="4">
        <v>0</v>
      </c>
      <c r="D228" s="4">
        <v>1</v>
      </c>
      <c r="E228" s="4">
        <v>205</v>
      </c>
      <c r="F228" s="4">
        <f>ROUND(Source!S213,O228)</f>
        <v>52778.080000000002</v>
      </c>
      <c r="G228" s="4" t="s">
        <v>43</v>
      </c>
      <c r="H228" s="4" t="s">
        <v>44</v>
      </c>
      <c r="I228" s="4"/>
      <c r="J228" s="4"/>
      <c r="K228" s="4">
        <v>205</v>
      </c>
      <c r="L228" s="4">
        <v>14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52778.080000000009</v>
      </c>
      <c r="X228" s="4">
        <v>1</v>
      </c>
      <c r="Y228" s="4">
        <v>52778.080000000009</v>
      </c>
      <c r="Z228" s="4"/>
      <c r="AA228" s="4"/>
      <c r="AB228" s="4"/>
    </row>
    <row r="229" spans="1:28" x14ac:dyDescent="0.2">
      <c r="A229" s="4">
        <v>50</v>
      </c>
      <c r="B229" s="4">
        <v>0</v>
      </c>
      <c r="C229" s="4">
        <v>0</v>
      </c>
      <c r="D229" s="4">
        <v>1</v>
      </c>
      <c r="E229" s="4">
        <v>232</v>
      </c>
      <c r="F229" s="4">
        <f>ROUND(Source!BC213,O229)</f>
        <v>0</v>
      </c>
      <c r="G229" s="4" t="s">
        <v>45</v>
      </c>
      <c r="H229" s="4" t="s">
        <v>46</v>
      </c>
      <c r="I229" s="4"/>
      <c r="J229" s="4"/>
      <c r="K229" s="4">
        <v>232</v>
      </c>
      <c r="L229" s="4">
        <v>15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214</v>
      </c>
      <c r="F230" s="4">
        <f>ROUND(Source!AS213,O230)</f>
        <v>0</v>
      </c>
      <c r="G230" s="4" t="s">
        <v>47</v>
      </c>
      <c r="H230" s="4" t="s">
        <v>48</v>
      </c>
      <c r="I230" s="4"/>
      <c r="J230" s="4"/>
      <c r="K230" s="4">
        <v>214</v>
      </c>
      <c r="L230" s="4">
        <v>16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x14ac:dyDescent="0.2">
      <c r="A231" s="4">
        <v>50</v>
      </c>
      <c r="B231" s="4">
        <v>0</v>
      </c>
      <c r="C231" s="4">
        <v>0</v>
      </c>
      <c r="D231" s="4">
        <v>1</v>
      </c>
      <c r="E231" s="4">
        <v>215</v>
      </c>
      <c r="F231" s="4">
        <f>ROUND(Source!AT213,O231)</f>
        <v>0</v>
      </c>
      <c r="G231" s="4" t="s">
        <v>49</v>
      </c>
      <c r="H231" s="4" t="s">
        <v>50</v>
      </c>
      <c r="I231" s="4"/>
      <c r="J231" s="4"/>
      <c r="K231" s="4">
        <v>215</v>
      </c>
      <c r="L231" s="4">
        <v>17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x14ac:dyDescent="0.2">
      <c r="A232" s="4">
        <v>50</v>
      </c>
      <c r="B232" s="4">
        <v>0</v>
      </c>
      <c r="C232" s="4">
        <v>0</v>
      </c>
      <c r="D232" s="4">
        <v>1</v>
      </c>
      <c r="E232" s="4">
        <v>217</v>
      </c>
      <c r="F232" s="4">
        <f>ROUND(Source!AU213,O232)</f>
        <v>110833.97</v>
      </c>
      <c r="G232" s="4" t="s">
        <v>51</v>
      </c>
      <c r="H232" s="4" t="s">
        <v>52</v>
      </c>
      <c r="I232" s="4"/>
      <c r="J232" s="4"/>
      <c r="K232" s="4">
        <v>217</v>
      </c>
      <c r="L232" s="4">
        <v>18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110833.97</v>
      </c>
      <c r="X232" s="4">
        <v>1</v>
      </c>
      <c r="Y232" s="4">
        <v>110833.97</v>
      </c>
      <c r="Z232" s="4"/>
      <c r="AA232" s="4"/>
      <c r="AB232" s="4"/>
    </row>
    <row r="233" spans="1:28" x14ac:dyDescent="0.2">
      <c r="A233" s="4">
        <v>50</v>
      </c>
      <c r="B233" s="4">
        <v>0</v>
      </c>
      <c r="C233" s="4">
        <v>0</v>
      </c>
      <c r="D233" s="4">
        <v>1</v>
      </c>
      <c r="E233" s="4">
        <v>230</v>
      </c>
      <c r="F233" s="4">
        <f>ROUND(Source!BA213,O233)</f>
        <v>0</v>
      </c>
      <c r="G233" s="4" t="s">
        <v>53</v>
      </c>
      <c r="H233" s="4" t="s">
        <v>54</v>
      </c>
      <c r="I233" s="4"/>
      <c r="J233" s="4"/>
      <c r="K233" s="4">
        <v>230</v>
      </c>
      <c r="L233" s="4">
        <v>19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8" x14ac:dyDescent="0.2">
      <c r="A234" s="4">
        <v>50</v>
      </c>
      <c r="B234" s="4">
        <v>0</v>
      </c>
      <c r="C234" s="4">
        <v>0</v>
      </c>
      <c r="D234" s="4">
        <v>1</v>
      </c>
      <c r="E234" s="4">
        <v>206</v>
      </c>
      <c r="F234" s="4">
        <f>ROUND(Source!T213,O234)</f>
        <v>0</v>
      </c>
      <c r="G234" s="4" t="s">
        <v>55</v>
      </c>
      <c r="H234" s="4" t="s">
        <v>56</v>
      </c>
      <c r="I234" s="4"/>
      <c r="J234" s="4"/>
      <c r="K234" s="4">
        <v>206</v>
      </c>
      <c r="L234" s="4">
        <v>20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8" x14ac:dyDescent="0.2">
      <c r="A235" s="4">
        <v>50</v>
      </c>
      <c r="B235" s="4">
        <v>0</v>
      </c>
      <c r="C235" s="4">
        <v>0</v>
      </c>
      <c r="D235" s="4">
        <v>1</v>
      </c>
      <c r="E235" s="4">
        <v>207</v>
      </c>
      <c r="F235" s="4">
        <f>ROUND(Source!U213,O235)</f>
        <v>80.995199999999997</v>
      </c>
      <c r="G235" s="4" t="s">
        <v>57</v>
      </c>
      <c r="H235" s="4" t="s">
        <v>58</v>
      </c>
      <c r="I235" s="4"/>
      <c r="J235" s="4"/>
      <c r="K235" s="4">
        <v>207</v>
      </c>
      <c r="L235" s="4">
        <v>21</v>
      </c>
      <c r="M235" s="4">
        <v>3</v>
      </c>
      <c r="N235" s="4" t="s">
        <v>3</v>
      </c>
      <c r="O235" s="4">
        <v>7</v>
      </c>
      <c r="P235" s="4"/>
      <c r="Q235" s="4"/>
      <c r="R235" s="4"/>
      <c r="S235" s="4"/>
      <c r="T235" s="4"/>
      <c r="U235" s="4"/>
      <c r="V235" s="4"/>
      <c r="W235" s="4">
        <v>80.995199999999997</v>
      </c>
      <c r="X235" s="4">
        <v>1</v>
      </c>
      <c r="Y235" s="4">
        <v>80.995199999999997</v>
      </c>
      <c r="Z235" s="4"/>
      <c r="AA235" s="4"/>
      <c r="AB235" s="4"/>
    </row>
    <row r="236" spans="1:28" x14ac:dyDescent="0.2">
      <c r="A236" s="4">
        <v>50</v>
      </c>
      <c r="B236" s="4">
        <v>0</v>
      </c>
      <c r="C236" s="4">
        <v>0</v>
      </c>
      <c r="D236" s="4">
        <v>1</v>
      </c>
      <c r="E236" s="4">
        <v>208</v>
      </c>
      <c r="F236" s="4">
        <f>ROUND(Source!V213,O236)</f>
        <v>0</v>
      </c>
      <c r="G236" s="4" t="s">
        <v>59</v>
      </c>
      <c r="H236" s="4" t="s">
        <v>60</v>
      </c>
      <c r="I236" s="4"/>
      <c r="J236" s="4"/>
      <c r="K236" s="4">
        <v>208</v>
      </c>
      <c r="L236" s="4">
        <v>22</v>
      </c>
      <c r="M236" s="4">
        <v>3</v>
      </c>
      <c r="N236" s="4" t="s">
        <v>3</v>
      </c>
      <c r="O236" s="4">
        <v>7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8" x14ac:dyDescent="0.2">
      <c r="A237" s="4">
        <v>50</v>
      </c>
      <c r="B237" s="4">
        <v>0</v>
      </c>
      <c r="C237" s="4">
        <v>0</v>
      </c>
      <c r="D237" s="4">
        <v>1</v>
      </c>
      <c r="E237" s="4">
        <v>209</v>
      </c>
      <c r="F237" s="4">
        <f>ROUND(Source!W213,O237)</f>
        <v>0</v>
      </c>
      <c r="G237" s="4" t="s">
        <v>61</v>
      </c>
      <c r="H237" s="4" t="s">
        <v>62</v>
      </c>
      <c r="I237" s="4"/>
      <c r="J237" s="4"/>
      <c r="K237" s="4">
        <v>209</v>
      </c>
      <c r="L237" s="4">
        <v>23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8" x14ac:dyDescent="0.2">
      <c r="A238" s="4">
        <v>50</v>
      </c>
      <c r="B238" s="4">
        <v>0</v>
      </c>
      <c r="C238" s="4">
        <v>0</v>
      </c>
      <c r="D238" s="4">
        <v>1</v>
      </c>
      <c r="E238" s="4">
        <v>233</v>
      </c>
      <c r="F238" s="4">
        <f>ROUND(Source!BD213,O238)</f>
        <v>0</v>
      </c>
      <c r="G238" s="4" t="s">
        <v>63</v>
      </c>
      <c r="H238" s="4" t="s">
        <v>64</v>
      </c>
      <c r="I238" s="4"/>
      <c r="J238" s="4"/>
      <c r="K238" s="4">
        <v>233</v>
      </c>
      <c r="L238" s="4">
        <v>24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x14ac:dyDescent="0.2">
      <c r="A239" s="4">
        <v>50</v>
      </c>
      <c r="B239" s="4">
        <v>0</v>
      </c>
      <c r="C239" s="4">
        <v>0</v>
      </c>
      <c r="D239" s="4">
        <v>1</v>
      </c>
      <c r="E239" s="4">
        <v>210</v>
      </c>
      <c r="F239" s="4">
        <f>ROUND(Source!X213,O239)</f>
        <v>39055.79</v>
      </c>
      <c r="G239" s="4" t="s">
        <v>65</v>
      </c>
      <c r="H239" s="4" t="s">
        <v>66</v>
      </c>
      <c r="I239" s="4"/>
      <c r="J239" s="4"/>
      <c r="K239" s="4">
        <v>210</v>
      </c>
      <c r="L239" s="4">
        <v>25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39055.79</v>
      </c>
      <c r="X239" s="4">
        <v>1</v>
      </c>
      <c r="Y239" s="4">
        <v>39055.79</v>
      </c>
      <c r="Z239" s="4"/>
      <c r="AA239" s="4"/>
      <c r="AB239" s="4"/>
    </row>
    <row r="240" spans="1:28" x14ac:dyDescent="0.2">
      <c r="A240" s="4">
        <v>50</v>
      </c>
      <c r="B240" s="4">
        <v>0</v>
      </c>
      <c r="C240" s="4">
        <v>0</v>
      </c>
      <c r="D240" s="4">
        <v>1</v>
      </c>
      <c r="E240" s="4">
        <v>211</v>
      </c>
      <c r="F240" s="4">
        <f>ROUND(Source!Y213,O240)</f>
        <v>19000.099999999999</v>
      </c>
      <c r="G240" s="4" t="s">
        <v>67</v>
      </c>
      <c r="H240" s="4" t="s">
        <v>68</v>
      </c>
      <c r="I240" s="4"/>
      <c r="J240" s="4"/>
      <c r="K240" s="4">
        <v>211</v>
      </c>
      <c r="L240" s="4">
        <v>26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19000.099999999999</v>
      </c>
      <c r="X240" s="4">
        <v>1</v>
      </c>
      <c r="Y240" s="4">
        <v>19000.099999999999</v>
      </c>
      <c r="Z240" s="4"/>
      <c r="AA240" s="4"/>
      <c r="AB240" s="4"/>
    </row>
    <row r="241" spans="1:206" x14ac:dyDescent="0.2">
      <c r="A241" s="4">
        <v>50</v>
      </c>
      <c r="B241" s="4">
        <v>0</v>
      </c>
      <c r="C241" s="4">
        <v>0</v>
      </c>
      <c r="D241" s="4">
        <v>1</v>
      </c>
      <c r="E241" s="4">
        <v>224</v>
      </c>
      <c r="F241" s="4">
        <f>ROUND(Source!AR213,O241)</f>
        <v>110833.97</v>
      </c>
      <c r="G241" s="4" t="s">
        <v>69</v>
      </c>
      <c r="H241" s="4" t="s">
        <v>70</v>
      </c>
      <c r="I241" s="4"/>
      <c r="J241" s="4"/>
      <c r="K241" s="4">
        <v>224</v>
      </c>
      <c r="L241" s="4">
        <v>27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110833.97</v>
      </c>
      <c r="X241" s="4">
        <v>1</v>
      </c>
      <c r="Y241" s="4">
        <v>110833.97</v>
      </c>
      <c r="Z241" s="4"/>
      <c r="AA241" s="4"/>
      <c r="AB241" s="4"/>
    </row>
    <row r="243" spans="1:206" x14ac:dyDescent="0.2">
      <c r="A243" s="2">
        <v>51</v>
      </c>
      <c r="B243" s="2">
        <f>B54</f>
        <v>1</v>
      </c>
      <c r="C243" s="2">
        <f>A54</f>
        <v>3</v>
      </c>
      <c r="D243" s="2">
        <f>ROW(A54)</f>
        <v>54</v>
      </c>
      <c r="E243" s="2"/>
      <c r="F243" s="2" t="str">
        <f>IF(F54&lt;&gt;"",F54,"")</f>
        <v>Новая локальная смета</v>
      </c>
      <c r="G243" s="2" t="str">
        <f>IF(G54&lt;&gt;"",G54,"")</f>
        <v>Реконструкция ВЛ-0,4 кВ от ТП-83 по адресу: г. Москва, п. Киевский, ул. 1-ой Дистанции Пути. (инв.№)</v>
      </c>
      <c r="H243" s="2">
        <v>0</v>
      </c>
      <c r="I243" s="2"/>
      <c r="J243" s="2"/>
      <c r="K243" s="2"/>
      <c r="L243" s="2"/>
      <c r="M243" s="2"/>
      <c r="N243" s="2"/>
      <c r="O243" s="2">
        <f t="shared" ref="O243:T243" si="166">ROUND(O74+O120+O172+O213+AB243,2)</f>
        <v>1453670.6</v>
      </c>
      <c r="P243" s="2">
        <f t="shared" si="166"/>
        <v>819271.41</v>
      </c>
      <c r="Q243" s="2">
        <f t="shared" si="166"/>
        <v>212378.67</v>
      </c>
      <c r="R243" s="2">
        <f t="shared" si="166"/>
        <v>91422.9</v>
      </c>
      <c r="S243" s="2">
        <f t="shared" si="166"/>
        <v>330597.62</v>
      </c>
      <c r="T243" s="2">
        <f t="shared" si="166"/>
        <v>0</v>
      </c>
      <c r="U243" s="2">
        <f>U74+U120+U172+U213+AH243</f>
        <v>683.62939999999992</v>
      </c>
      <c r="V243" s="2">
        <f>V74+V120+V172+V213+AI243</f>
        <v>167.55665999999999</v>
      </c>
      <c r="W243" s="2">
        <f>ROUND(W74+W120+W172+W213+AJ243,2)</f>
        <v>0</v>
      </c>
      <c r="X243" s="2">
        <f>ROUND(X74+X120+X172+X213+AK243,2)</f>
        <v>413381.56</v>
      </c>
      <c r="Y243" s="2">
        <f>ROUND(Y74+Y120+Y172+Y213+AL243,2)</f>
        <v>231554.62</v>
      </c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>
        <f t="shared" ref="AO243:BD243" si="167">ROUND(AO74+AO120+AO172+AO213+BX243,2)</f>
        <v>17632.439999999999</v>
      </c>
      <c r="AP243" s="2">
        <f t="shared" si="167"/>
        <v>0</v>
      </c>
      <c r="AQ243" s="2">
        <f t="shared" si="167"/>
        <v>0</v>
      </c>
      <c r="AR243" s="2">
        <f t="shared" si="167"/>
        <v>2098606.7799999998</v>
      </c>
      <c r="AS243" s="2">
        <f t="shared" si="167"/>
        <v>1268468.45</v>
      </c>
      <c r="AT243" s="2">
        <f t="shared" si="167"/>
        <v>719304.36</v>
      </c>
      <c r="AU243" s="2">
        <f t="shared" si="167"/>
        <v>110833.97</v>
      </c>
      <c r="AV243" s="2">
        <f t="shared" si="167"/>
        <v>801638.97</v>
      </c>
      <c r="AW243" s="2">
        <f t="shared" si="167"/>
        <v>819271.41</v>
      </c>
      <c r="AX243" s="2">
        <f t="shared" si="167"/>
        <v>17632.439999999999</v>
      </c>
      <c r="AY243" s="2">
        <f t="shared" si="167"/>
        <v>801638.97</v>
      </c>
      <c r="AZ243" s="2">
        <f t="shared" si="167"/>
        <v>0</v>
      </c>
      <c r="BA243" s="2">
        <f t="shared" si="167"/>
        <v>0</v>
      </c>
      <c r="BB243" s="2">
        <f t="shared" si="167"/>
        <v>0</v>
      </c>
      <c r="BC243" s="2">
        <f t="shared" si="167"/>
        <v>0</v>
      </c>
      <c r="BD243" s="2">
        <f t="shared" si="167"/>
        <v>0</v>
      </c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3"/>
      <c r="DH243" s="3"/>
      <c r="DI243" s="3"/>
      <c r="DJ243" s="3"/>
      <c r="DK243" s="3"/>
      <c r="DL243" s="3"/>
      <c r="DM243" s="3"/>
      <c r="DN243" s="3"/>
      <c r="DO243" s="3"/>
      <c r="DP243" s="3"/>
      <c r="DQ243" s="3"/>
      <c r="DR243" s="3"/>
      <c r="DS243" s="3"/>
      <c r="DT243" s="3"/>
      <c r="DU243" s="3"/>
      <c r="DV243" s="3"/>
      <c r="DW243" s="3"/>
      <c r="DX243" s="3"/>
      <c r="DY243" s="3"/>
      <c r="DZ243" s="3"/>
      <c r="EA243" s="3"/>
      <c r="EB243" s="3"/>
      <c r="EC243" s="3"/>
      <c r="ED243" s="3"/>
      <c r="EE243" s="3"/>
      <c r="EF243" s="3"/>
      <c r="EG243" s="3"/>
      <c r="EH243" s="3"/>
      <c r="EI243" s="3"/>
      <c r="EJ243" s="3"/>
      <c r="EK243" s="3"/>
      <c r="EL243" s="3"/>
      <c r="EM243" s="3"/>
      <c r="EN243" s="3"/>
      <c r="EO243" s="3"/>
      <c r="EP243" s="3"/>
      <c r="EQ243" s="3"/>
      <c r="ER243" s="3"/>
      <c r="ES243" s="3"/>
      <c r="ET243" s="3"/>
      <c r="EU243" s="3"/>
      <c r="EV243" s="3"/>
      <c r="EW243" s="3"/>
      <c r="EX243" s="3"/>
      <c r="EY243" s="3"/>
      <c r="EZ243" s="3"/>
      <c r="FA243" s="3"/>
      <c r="FB243" s="3"/>
      <c r="FC243" s="3"/>
      <c r="FD243" s="3"/>
      <c r="FE243" s="3"/>
      <c r="FF243" s="3"/>
      <c r="FG243" s="3"/>
      <c r="FH243" s="3"/>
      <c r="FI243" s="3"/>
      <c r="FJ243" s="3"/>
      <c r="FK243" s="3"/>
      <c r="FL243" s="3"/>
      <c r="FM243" s="3"/>
      <c r="FN243" s="3"/>
      <c r="FO243" s="3"/>
      <c r="FP243" s="3"/>
      <c r="FQ243" s="3"/>
      <c r="FR243" s="3"/>
      <c r="FS243" s="3"/>
      <c r="FT243" s="3"/>
      <c r="FU243" s="3"/>
      <c r="FV243" s="3"/>
      <c r="FW243" s="3"/>
      <c r="FX243" s="3"/>
      <c r="FY243" s="3"/>
      <c r="FZ243" s="3"/>
      <c r="GA243" s="3"/>
      <c r="GB243" s="3"/>
      <c r="GC243" s="3"/>
      <c r="GD243" s="3"/>
      <c r="GE243" s="3"/>
      <c r="GF243" s="3"/>
      <c r="GG243" s="3"/>
      <c r="GH243" s="3"/>
      <c r="GI243" s="3"/>
      <c r="GJ243" s="3"/>
      <c r="GK243" s="3"/>
      <c r="GL243" s="3"/>
      <c r="GM243" s="3"/>
      <c r="GN243" s="3"/>
      <c r="GO243" s="3"/>
      <c r="GP243" s="3"/>
      <c r="GQ243" s="3"/>
      <c r="GR243" s="3"/>
      <c r="GS243" s="3"/>
      <c r="GT243" s="3"/>
      <c r="GU243" s="3"/>
      <c r="GV243" s="3"/>
      <c r="GW243" s="3"/>
      <c r="GX243" s="3">
        <v>0</v>
      </c>
    </row>
    <row r="245" spans="1:206" x14ac:dyDescent="0.2">
      <c r="A245" s="4">
        <v>50</v>
      </c>
      <c r="B245" s="4">
        <v>0</v>
      </c>
      <c r="C245" s="4">
        <v>0</v>
      </c>
      <c r="D245" s="4">
        <v>1</v>
      </c>
      <c r="E245" s="4">
        <v>201</v>
      </c>
      <c r="F245" s="4">
        <f>ROUND(Source!O243,O245)</f>
        <v>1453670.6</v>
      </c>
      <c r="G245" s="4" t="s">
        <v>17</v>
      </c>
      <c r="H245" s="4" t="s">
        <v>18</v>
      </c>
      <c r="I245" s="4"/>
      <c r="J245" s="4"/>
      <c r="K245" s="4">
        <v>201</v>
      </c>
      <c r="L245" s="4">
        <v>1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1453670.6</v>
      </c>
      <c r="X245" s="4">
        <v>1</v>
      </c>
      <c r="Y245" s="4">
        <v>1453670.6</v>
      </c>
      <c r="Z245" s="4"/>
      <c r="AA245" s="4"/>
      <c r="AB245" s="4"/>
    </row>
    <row r="246" spans="1:206" x14ac:dyDescent="0.2">
      <c r="A246" s="4">
        <v>50</v>
      </c>
      <c r="B246" s="4">
        <v>0</v>
      </c>
      <c r="C246" s="4">
        <v>0</v>
      </c>
      <c r="D246" s="4">
        <v>1</v>
      </c>
      <c r="E246" s="4">
        <v>202</v>
      </c>
      <c r="F246" s="4">
        <f>ROUND(Source!P243,O246)</f>
        <v>819271.41</v>
      </c>
      <c r="G246" s="4" t="s">
        <v>19</v>
      </c>
      <c r="H246" s="4" t="s">
        <v>20</v>
      </c>
      <c r="I246" s="4"/>
      <c r="J246" s="4"/>
      <c r="K246" s="4">
        <v>202</v>
      </c>
      <c r="L246" s="4">
        <v>2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819271.41</v>
      </c>
      <c r="X246" s="4">
        <v>1</v>
      </c>
      <c r="Y246" s="4">
        <v>819271.41</v>
      </c>
      <c r="Z246" s="4"/>
      <c r="AA246" s="4"/>
      <c r="AB246" s="4"/>
    </row>
    <row r="247" spans="1:206" x14ac:dyDescent="0.2">
      <c r="A247" s="4">
        <v>50</v>
      </c>
      <c r="B247" s="4">
        <v>0</v>
      </c>
      <c r="C247" s="4">
        <v>0</v>
      </c>
      <c r="D247" s="4">
        <v>1</v>
      </c>
      <c r="E247" s="4">
        <v>222</v>
      </c>
      <c r="F247" s="4">
        <f>ROUND(Source!AO243,O247)</f>
        <v>17632.439999999999</v>
      </c>
      <c r="G247" s="4" t="s">
        <v>21</v>
      </c>
      <c r="H247" s="4" t="s">
        <v>22</v>
      </c>
      <c r="I247" s="4"/>
      <c r="J247" s="4"/>
      <c r="K247" s="4">
        <v>222</v>
      </c>
      <c r="L247" s="4">
        <v>3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17632.439999999999</v>
      </c>
      <c r="X247" s="4">
        <v>1</v>
      </c>
      <c r="Y247" s="4">
        <v>17632.439999999999</v>
      </c>
      <c r="Z247" s="4"/>
      <c r="AA247" s="4"/>
      <c r="AB247" s="4"/>
    </row>
    <row r="248" spans="1:206" x14ac:dyDescent="0.2">
      <c r="A248" s="4">
        <v>50</v>
      </c>
      <c r="B248" s="4">
        <v>0</v>
      </c>
      <c r="C248" s="4">
        <v>0</v>
      </c>
      <c r="D248" s="4">
        <v>1</v>
      </c>
      <c r="E248" s="4">
        <v>225</v>
      </c>
      <c r="F248" s="4">
        <f>ROUND(Source!AV243,O248)</f>
        <v>801638.97</v>
      </c>
      <c r="G248" s="4" t="s">
        <v>23</v>
      </c>
      <c r="H248" s="4" t="s">
        <v>24</v>
      </c>
      <c r="I248" s="4"/>
      <c r="J248" s="4"/>
      <c r="K248" s="4">
        <v>225</v>
      </c>
      <c r="L248" s="4">
        <v>4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819271.41</v>
      </c>
      <c r="X248" s="4">
        <v>1</v>
      </c>
      <c r="Y248" s="4">
        <v>819271.41</v>
      </c>
      <c r="Z248" s="4"/>
      <c r="AA248" s="4"/>
      <c r="AB248" s="4"/>
    </row>
    <row r="249" spans="1:206" x14ac:dyDescent="0.2">
      <c r="A249" s="4">
        <v>50</v>
      </c>
      <c r="B249" s="4">
        <v>0</v>
      </c>
      <c r="C249" s="4">
        <v>0</v>
      </c>
      <c r="D249" s="4">
        <v>1</v>
      </c>
      <c r="E249" s="4">
        <v>226</v>
      </c>
      <c r="F249" s="4">
        <f>ROUND(Source!AW243,O249)</f>
        <v>819271.41</v>
      </c>
      <c r="G249" s="4" t="s">
        <v>25</v>
      </c>
      <c r="H249" s="4" t="s">
        <v>26</v>
      </c>
      <c r="I249" s="4"/>
      <c r="J249" s="4"/>
      <c r="K249" s="4">
        <v>226</v>
      </c>
      <c r="L249" s="4">
        <v>5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819271.41</v>
      </c>
      <c r="X249" s="4">
        <v>1</v>
      </c>
      <c r="Y249" s="4">
        <v>819271.41</v>
      </c>
      <c r="Z249" s="4"/>
      <c r="AA249" s="4"/>
      <c r="AB249" s="4"/>
    </row>
    <row r="250" spans="1:206" x14ac:dyDescent="0.2">
      <c r="A250" s="4">
        <v>50</v>
      </c>
      <c r="B250" s="4">
        <v>0</v>
      </c>
      <c r="C250" s="4">
        <v>0</v>
      </c>
      <c r="D250" s="4">
        <v>1</v>
      </c>
      <c r="E250" s="4">
        <v>227</v>
      </c>
      <c r="F250" s="4">
        <f>ROUND(Source!AX243,O250)</f>
        <v>17632.439999999999</v>
      </c>
      <c r="G250" s="4" t="s">
        <v>27</v>
      </c>
      <c r="H250" s="4" t="s">
        <v>28</v>
      </c>
      <c r="I250" s="4"/>
      <c r="J250" s="4"/>
      <c r="K250" s="4">
        <v>227</v>
      </c>
      <c r="L250" s="4">
        <v>6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06" x14ac:dyDescent="0.2">
      <c r="A251" s="4">
        <v>50</v>
      </c>
      <c r="B251" s="4">
        <v>0</v>
      </c>
      <c r="C251" s="4">
        <v>0</v>
      </c>
      <c r="D251" s="4">
        <v>1</v>
      </c>
      <c r="E251" s="4">
        <v>228</v>
      </c>
      <c r="F251" s="4">
        <f>ROUND(Source!AY243,O251)</f>
        <v>801638.97</v>
      </c>
      <c r="G251" s="4" t="s">
        <v>29</v>
      </c>
      <c r="H251" s="4" t="s">
        <v>30</v>
      </c>
      <c r="I251" s="4"/>
      <c r="J251" s="4"/>
      <c r="K251" s="4">
        <v>228</v>
      </c>
      <c r="L251" s="4">
        <v>7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819271.41</v>
      </c>
      <c r="X251" s="4">
        <v>1</v>
      </c>
      <c r="Y251" s="4">
        <v>819271.41</v>
      </c>
      <c r="Z251" s="4"/>
      <c r="AA251" s="4"/>
      <c r="AB251" s="4"/>
    </row>
    <row r="252" spans="1:206" x14ac:dyDescent="0.2">
      <c r="A252" s="4">
        <v>50</v>
      </c>
      <c r="B252" s="4">
        <v>0</v>
      </c>
      <c r="C252" s="4">
        <v>0</v>
      </c>
      <c r="D252" s="4">
        <v>1</v>
      </c>
      <c r="E252" s="4">
        <v>216</v>
      </c>
      <c r="F252" s="4">
        <f>ROUND(Source!AP243,O252)</f>
        <v>0</v>
      </c>
      <c r="G252" s="4" t="s">
        <v>31</v>
      </c>
      <c r="H252" s="4" t="s">
        <v>32</v>
      </c>
      <c r="I252" s="4"/>
      <c r="J252" s="4"/>
      <c r="K252" s="4">
        <v>216</v>
      </c>
      <c r="L252" s="4">
        <v>8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06" x14ac:dyDescent="0.2">
      <c r="A253" s="4">
        <v>50</v>
      </c>
      <c r="B253" s="4">
        <v>0</v>
      </c>
      <c r="C253" s="4">
        <v>0</v>
      </c>
      <c r="D253" s="4">
        <v>1</v>
      </c>
      <c r="E253" s="4">
        <v>223</v>
      </c>
      <c r="F253" s="4">
        <f>ROUND(Source!AQ243,O253)</f>
        <v>0</v>
      </c>
      <c r="G253" s="4" t="s">
        <v>33</v>
      </c>
      <c r="H253" s="4" t="s">
        <v>34</v>
      </c>
      <c r="I253" s="4"/>
      <c r="J253" s="4"/>
      <c r="K253" s="4">
        <v>223</v>
      </c>
      <c r="L253" s="4">
        <v>9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06" x14ac:dyDescent="0.2">
      <c r="A254" s="4">
        <v>50</v>
      </c>
      <c r="B254" s="4">
        <v>0</v>
      </c>
      <c r="C254" s="4">
        <v>0</v>
      </c>
      <c r="D254" s="4">
        <v>1</v>
      </c>
      <c r="E254" s="4">
        <v>229</v>
      </c>
      <c r="F254" s="4">
        <f>ROUND(Source!AZ243,O254)</f>
        <v>0</v>
      </c>
      <c r="G254" s="4" t="s">
        <v>35</v>
      </c>
      <c r="H254" s="4" t="s">
        <v>36</v>
      </c>
      <c r="I254" s="4"/>
      <c r="J254" s="4"/>
      <c r="K254" s="4">
        <v>229</v>
      </c>
      <c r="L254" s="4">
        <v>10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06" x14ac:dyDescent="0.2">
      <c r="A255" s="4">
        <v>50</v>
      </c>
      <c r="B255" s="4">
        <v>0</v>
      </c>
      <c r="C255" s="4">
        <v>0</v>
      </c>
      <c r="D255" s="4">
        <v>1</v>
      </c>
      <c r="E255" s="4">
        <v>203</v>
      </c>
      <c r="F255" s="4">
        <f>ROUND(Source!Q243,O255)</f>
        <v>212378.67</v>
      </c>
      <c r="G255" s="4" t="s">
        <v>37</v>
      </c>
      <c r="H255" s="4" t="s">
        <v>38</v>
      </c>
      <c r="I255" s="4"/>
      <c r="J255" s="4"/>
      <c r="K255" s="4">
        <v>203</v>
      </c>
      <c r="L255" s="4">
        <v>11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212378.66999999998</v>
      </c>
      <c r="X255" s="4">
        <v>1</v>
      </c>
      <c r="Y255" s="4">
        <v>212378.66999999998</v>
      </c>
      <c r="Z255" s="4"/>
      <c r="AA255" s="4"/>
      <c r="AB255" s="4"/>
    </row>
    <row r="256" spans="1:206" x14ac:dyDescent="0.2">
      <c r="A256" s="4">
        <v>50</v>
      </c>
      <c r="B256" s="4">
        <v>0</v>
      </c>
      <c r="C256" s="4">
        <v>0</v>
      </c>
      <c r="D256" s="4">
        <v>1</v>
      </c>
      <c r="E256" s="4">
        <v>231</v>
      </c>
      <c r="F256" s="4">
        <f>ROUND(Source!BB243,O256)</f>
        <v>0</v>
      </c>
      <c r="G256" s="4" t="s">
        <v>39</v>
      </c>
      <c r="H256" s="4" t="s">
        <v>40</v>
      </c>
      <c r="I256" s="4"/>
      <c r="J256" s="4"/>
      <c r="K256" s="4">
        <v>231</v>
      </c>
      <c r="L256" s="4">
        <v>12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204</v>
      </c>
      <c r="F257" s="4">
        <f>ROUND(Source!R243,O257)</f>
        <v>91422.9</v>
      </c>
      <c r="G257" s="4" t="s">
        <v>41</v>
      </c>
      <c r="H257" s="4" t="s">
        <v>42</v>
      </c>
      <c r="I257" s="4"/>
      <c r="J257" s="4"/>
      <c r="K257" s="4">
        <v>204</v>
      </c>
      <c r="L257" s="4">
        <v>13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91422.9</v>
      </c>
      <c r="X257" s="4">
        <v>1</v>
      </c>
      <c r="Y257" s="4">
        <v>91422.9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205</v>
      </c>
      <c r="F258" s="4">
        <f>ROUND(Source!S243,O258)</f>
        <v>330597.62</v>
      </c>
      <c r="G258" s="4" t="s">
        <v>43</v>
      </c>
      <c r="H258" s="4" t="s">
        <v>44</v>
      </c>
      <c r="I258" s="4"/>
      <c r="J258" s="4"/>
      <c r="K258" s="4">
        <v>205</v>
      </c>
      <c r="L258" s="4">
        <v>14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330597.62000000005</v>
      </c>
      <c r="X258" s="4">
        <v>1</v>
      </c>
      <c r="Y258" s="4">
        <v>330597.62000000005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232</v>
      </c>
      <c r="F259" s="4">
        <f>ROUND(Source!BC243,O259)</f>
        <v>0</v>
      </c>
      <c r="G259" s="4" t="s">
        <v>45</v>
      </c>
      <c r="H259" s="4" t="s">
        <v>46</v>
      </c>
      <c r="I259" s="4"/>
      <c r="J259" s="4"/>
      <c r="K259" s="4">
        <v>232</v>
      </c>
      <c r="L259" s="4">
        <v>15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214</v>
      </c>
      <c r="F260" s="4">
        <f>ROUND(Source!AS243,O260)</f>
        <v>1268468.45</v>
      </c>
      <c r="G260" s="4" t="s">
        <v>47</v>
      </c>
      <c r="H260" s="4" t="s">
        <v>48</v>
      </c>
      <c r="I260" s="4"/>
      <c r="J260" s="4"/>
      <c r="K260" s="4">
        <v>214</v>
      </c>
      <c r="L260" s="4">
        <v>16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1268468.45</v>
      </c>
      <c r="X260" s="4">
        <v>1</v>
      </c>
      <c r="Y260" s="4">
        <v>1268468.45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215</v>
      </c>
      <c r="F261" s="4">
        <f>ROUND(Source!AT243,O261)</f>
        <v>719304.36</v>
      </c>
      <c r="G261" s="4" t="s">
        <v>49</v>
      </c>
      <c r="H261" s="4" t="s">
        <v>50</v>
      </c>
      <c r="I261" s="4"/>
      <c r="J261" s="4"/>
      <c r="K261" s="4">
        <v>215</v>
      </c>
      <c r="L261" s="4">
        <v>17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719304.36</v>
      </c>
      <c r="X261" s="4">
        <v>1</v>
      </c>
      <c r="Y261" s="4">
        <v>719304.36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217</v>
      </c>
      <c r="F262" s="4">
        <f>ROUND(Source!AU243,O262)</f>
        <v>110833.97</v>
      </c>
      <c r="G262" s="4" t="s">
        <v>51</v>
      </c>
      <c r="H262" s="4" t="s">
        <v>52</v>
      </c>
      <c r="I262" s="4"/>
      <c r="J262" s="4"/>
      <c r="K262" s="4">
        <v>217</v>
      </c>
      <c r="L262" s="4">
        <v>18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110833.97</v>
      </c>
      <c r="X262" s="4">
        <v>1</v>
      </c>
      <c r="Y262" s="4">
        <v>110833.97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230</v>
      </c>
      <c r="F263" s="4">
        <f>ROUND(Source!BA243,O263)</f>
        <v>0</v>
      </c>
      <c r="G263" s="4" t="s">
        <v>53</v>
      </c>
      <c r="H263" s="4" t="s">
        <v>54</v>
      </c>
      <c r="I263" s="4"/>
      <c r="J263" s="4"/>
      <c r="K263" s="4">
        <v>230</v>
      </c>
      <c r="L263" s="4">
        <v>19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206</v>
      </c>
      <c r="F264" s="4">
        <f>ROUND(Source!T243,O264)</f>
        <v>0</v>
      </c>
      <c r="G264" s="4" t="s">
        <v>55</v>
      </c>
      <c r="H264" s="4" t="s">
        <v>56</v>
      </c>
      <c r="I264" s="4"/>
      <c r="J264" s="4"/>
      <c r="K264" s="4">
        <v>206</v>
      </c>
      <c r="L264" s="4">
        <v>20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207</v>
      </c>
      <c r="F265" s="4">
        <f>ROUND(Source!U243,O265)</f>
        <v>683.62940000000003</v>
      </c>
      <c r="G265" s="4" t="s">
        <v>57</v>
      </c>
      <c r="H265" s="4" t="s">
        <v>58</v>
      </c>
      <c r="I265" s="4"/>
      <c r="J265" s="4"/>
      <c r="K265" s="4">
        <v>207</v>
      </c>
      <c r="L265" s="4">
        <v>21</v>
      </c>
      <c r="M265" s="4">
        <v>3</v>
      </c>
      <c r="N265" s="4" t="s">
        <v>3</v>
      </c>
      <c r="O265" s="4">
        <v>7</v>
      </c>
      <c r="P265" s="4"/>
      <c r="Q265" s="4"/>
      <c r="R265" s="4"/>
      <c r="S265" s="4"/>
      <c r="T265" s="4"/>
      <c r="U265" s="4"/>
      <c r="V265" s="4"/>
      <c r="W265" s="4">
        <v>683.62940000000003</v>
      </c>
      <c r="X265" s="4">
        <v>1</v>
      </c>
      <c r="Y265" s="4">
        <v>683.62940000000003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208</v>
      </c>
      <c r="F266" s="4">
        <f>ROUND(Source!V243,O266)</f>
        <v>167.55665999999999</v>
      </c>
      <c r="G266" s="4" t="s">
        <v>59</v>
      </c>
      <c r="H266" s="4" t="s">
        <v>60</v>
      </c>
      <c r="I266" s="4"/>
      <c r="J266" s="4"/>
      <c r="K266" s="4">
        <v>208</v>
      </c>
      <c r="L266" s="4">
        <v>22</v>
      </c>
      <c r="M266" s="4">
        <v>3</v>
      </c>
      <c r="N266" s="4" t="s">
        <v>3</v>
      </c>
      <c r="O266" s="4">
        <v>7</v>
      </c>
      <c r="P266" s="4"/>
      <c r="Q266" s="4"/>
      <c r="R266" s="4"/>
      <c r="S266" s="4"/>
      <c r="T266" s="4"/>
      <c r="U266" s="4"/>
      <c r="V266" s="4"/>
      <c r="W266" s="4">
        <v>167.55665999999999</v>
      </c>
      <c r="X266" s="4">
        <v>1</v>
      </c>
      <c r="Y266" s="4">
        <v>167.55665999999999</v>
      </c>
      <c r="Z266" s="4"/>
      <c r="AA266" s="4"/>
      <c r="AB266" s="4"/>
    </row>
    <row r="267" spans="1:28" x14ac:dyDescent="0.2">
      <c r="A267" s="4">
        <v>50</v>
      </c>
      <c r="B267" s="4">
        <v>0</v>
      </c>
      <c r="C267" s="4">
        <v>0</v>
      </c>
      <c r="D267" s="4">
        <v>1</v>
      </c>
      <c r="E267" s="4">
        <v>209</v>
      </c>
      <c r="F267" s="4">
        <f>ROUND(Source!W243,O267)</f>
        <v>0</v>
      </c>
      <c r="G267" s="4" t="s">
        <v>61</v>
      </c>
      <c r="H267" s="4" t="s">
        <v>62</v>
      </c>
      <c r="I267" s="4"/>
      <c r="J267" s="4"/>
      <c r="K267" s="4">
        <v>209</v>
      </c>
      <c r="L267" s="4">
        <v>23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 x14ac:dyDescent="0.2">
      <c r="A268" s="4">
        <v>50</v>
      </c>
      <c r="B268" s="4">
        <v>0</v>
      </c>
      <c r="C268" s="4">
        <v>0</v>
      </c>
      <c r="D268" s="4">
        <v>1</v>
      </c>
      <c r="E268" s="4">
        <v>233</v>
      </c>
      <c r="F268" s="4">
        <f>ROUND(Source!BD243,O268)</f>
        <v>0</v>
      </c>
      <c r="G268" s="4" t="s">
        <v>63</v>
      </c>
      <c r="H268" s="4" t="s">
        <v>64</v>
      </c>
      <c r="I268" s="4"/>
      <c r="J268" s="4"/>
      <c r="K268" s="4">
        <v>233</v>
      </c>
      <c r="L268" s="4">
        <v>24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8" x14ac:dyDescent="0.2">
      <c r="A269" s="4">
        <v>50</v>
      </c>
      <c r="B269" s="4">
        <v>0</v>
      </c>
      <c r="C269" s="4">
        <v>0</v>
      </c>
      <c r="D269" s="4">
        <v>1</v>
      </c>
      <c r="E269" s="4">
        <v>210</v>
      </c>
      <c r="F269" s="4">
        <f>ROUND(Source!X243,O269)</f>
        <v>413381.56</v>
      </c>
      <c r="G269" s="4" t="s">
        <v>65</v>
      </c>
      <c r="H269" s="4" t="s">
        <v>66</v>
      </c>
      <c r="I269" s="4"/>
      <c r="J269" s="4"/>
      <c r="K269" s="4">
        <v>210</v>
      </c>
      <c r="L269" s="4">
        <v>25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413381.56</v>
      </c>
      <c r="X269" s="4">
        <v>1</v>
      </c>
      <c r="Y269" s="4">
        <v>413381.56</v>
      </c>
      <c r="Z269" s="4"/>
      <c r="AA269" s="4"/>
      <c r="AB269" s="4"/>
    </row>
    <row r="270" spans="1:28" x14ac:dyDescent="0.2">
      <c r="A270" s="4">
        <v>50</v>
      </c>
      <c r="B270" s="4">
        <v>0</v>
      </c>
      <c r="C270" s="4">
        <v>0</v>
      </c>
      <c r="D270" s="4">
        <v>1</v>
      </c>
      <c r="E270" s="4">
        <v>211</v>
      </c>
      <c r="F270" s="4">
        <f>ROUND(Source!Y243,O270)</f>
        <v>231554.62</v>
      </c>
      <c r="G270" s="4" t="s">
        <v>67</v>
      </c>
      <c r="H270" s="4" t="s">
        <v>68</v>
      </c>
      <c r="I270" s="4"/>
      <c r="J270" s="4"/>
      <c r="K270" s="4">
        <v>211</v>
      </c>
      <c r="L270" s="4">
        <v>26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231554.62</v>
      </c>
      <c r="X270" s="4">
        <v>1</v>
      </c>
      <c r="Y270" s="4">
        <v>231554.62</v>
      </c>
      <c r="Z270" s="4"/>
      <c r="AA270" s="4"/>
      <c r="AB270" s="4"/>
    </row>
    <row r="271" spans="1:28" x14ac:dyDescent="0.2">
      <c r="A271" s="4">
        <v>50</v>
      </c>
      <c r="B271" s="4">
        <v>0</v>
      </c>
      <c r="C271" s="4">
        <v>0</v>
      </c>
      <c r="D271" s="4">
        <v>1</v>
      </c>
      <c r="E271" s="4">
        <v>224</v>
      </c>
      <c r="F271" s="4">
        <f>ROUND(Source!AR243,O271)</f>
        <v>2098606.7799999998</v>
      </c>
      <c r="G271" s="4" t="s">
        <v>69</v>
      </c>
      <c r="H271" s="4" t="s">
        <v>70</v>
      </c>
      <c r="I271" s="4"/>
      <c r="J271" s="4"/>
      <c r="K271" s="4">
        <v>224</v>
      </c>
      <c r="L271" s="4">
        <v>27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2098606.7800000003</v>
      </c>
      <c r="X271" s="4">
        <v>1</v>
      </c>
      <c r="Y271" s="4">
        <v>2098606.7800000003</v>
      </c>
      <c r="Z271" s="4"/>
      <c r="AA271" s="4"/>
      <c r="AB271" s="4"/>
    </row>
    <row r="272" spans="1:28" x14ac:dyDescent="0.2">
      <c r="A272" s="4">
        <v>50</v>
      </c>
      <c r="B272" s="4">
        <v>1</v>
      </c>
      <c r="C272" s="4">
        <v>0</v>
      </c>
      <c r="D272" s="4">
        <v>2</v>
      </c>
      <c r="E272" s="4">
        <v>0</v>
      </c>
      <c r="F272" s="4">
        <f>ROUND(F102+F148+F200+F241,O272)</f>
        <v>2098606.7799999998</v>
      </c>
      <c r="G272" s="4" t="s">
        <v>286</v>
      </c>
      <c r="H272" s="4" t="s">
        <v>287</v>
      </c>
      <c r="I272" s="4"/>
      <c r="J272" s="4"/>
      <c r="K272" s="4">
        <v>212</v>
      </c>
      <c r="L272" s="4">
        <v>28</v>
      </c>
      <c r="M272" s="4">
        <v>0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2098606.7799999998</v>
      </c>
      <c r="X272" s="4">
        <v>1</v>
      </c>
      <c r="Y272" s="4">
        <v>2098606.7799999998</v>
      </c>
      <c r="Z272" s="4"/>
      <c r="AA272" s="4"/>
      <c r="AB272" s="4"/>
    </row>
    <row r="273" spans="1:206" x14ac:dyDescent="0.2">
      <c r="A273" s="4">
        <v>50</v>
      </c>
      <c r="B273" s="4">
        <v>1</v>
      </c>
      <c r="C273" s="4">
        <v>0</v>
      </c>
      <c r="D273" s="4">
        <v>2</v>
      </c>
      <c r="E273" s="4">
        <v>0</v>
      </c>
      <c r="F273" s="4">
        <f>ROUND(0.2*F272,O273)</f>
        <v>419721.36</v>
      </c>
      <c r="G273" s="4" t="s">
        <v>288</v>
      </c>
      <c r="H273" s="4" t="s">
        <v>289</v>
      </c>
      <c r="I273" s="4"/>
      <c r="J273" s="4"/>
      <c r="K273" s="4">
        <v>212</v>
      </c>
      <c r="L273" s="4">
        <v>29</v>
      </c>
      <c r="M273" s="4">
        <v>0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419721.36</v>
      </c>
      <c r="X273" s="4">
        <v>1</v>
      </c>
      <c r="Y273" s="4">
        <v>419721.36</v>
      </c>
      <c r="Z273" s="4"/>
      <c r="AA273" s="4"/>
      <c r="AB273" s="4"/>
    </row>
    <row r="274" spans="1:206" x14ac:dyDescent="0.2">
      <c r="A274" s="4">
        <v>50</v>
      </c>
      <c r="B274" s="4">
        <v>1</v>
      </c>
      <c r="C274" s="4">
        <v>0</v>
      </c>
      <c r="D274" s="4">
        <v>2</v>
      </c>
      <c r="E274" s="4">
        <v>0</v>
      </c>
      <c r="F274" s="4">
        <f>ROUND(F273+F272,O274)</f>
        <v>2518328.14</v>
      </c>
      <c r="G274" s="4" t="s">
        <v>290</v>
      </c>
      <c r="H274" s="4" t="s">
        <v>291</v>
      </c>
      <c r="I274" s="4"/>
      <c r="J274" s="4"/>
      <c r="K274" s="4">
        <v>212</v>
      </c>
      <c r="L274" s="4">
        <v>30</v>
      </c>
      <c r="M274" s="4">
        <v>0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2518328.14</v>
      </c>
      <c r="X274" s="4">
        <v>1</v>
      </c>
      <c r="Y274" s="4">
        <v>2518328.14</v>
      </c>
      <c r="Z274" s="4"/>
      <c r="AA274" s="4"/>
      <c r="AB274" s="4"/>
    </row>
    <row r="276" spans="1:206" x14ac:dyDescent="0.2">
      <c r="A276" s="2">
        <v>51</v>
      </c>
      <c r="B276" s="2">
        <f>B12</f>
        <v>335</v>
      </c>
      <c r="C276" s="2">
        <f>A12</f>
        <v>1</v>
      </c>
      <c r="D276" s="2">
        <f>ROW(A12)</f>
        <v>12</v>
      </c>
      <c r="E276" s="2"/>
      <c r="F276" s="2" t="str">
        <f>IF(F12&lt;&gt;"",F12,"")</f>
        <v>Новый объект</v>
      </c>
      <c r="G276" s="2" t="str">
        <f>IF(G12&lt;&gt;"",G12,"")</f>
        <v>ВЛ-0,4кВ</v>
      </c>
      <c r="H276" s="2">
        <v>0</v>
      </c>
      <c r="I276" s="2"/>
      <c r="J276" s="2"/>
      <c r="K276" s="2"/>
      <c r="L276" s="2"/>
      <c r="M276" s="2"/>
      <c r="N276" s="2"/>
      <c r="O276" s="2">
        <f t="shared" ref="O276:T276" si="168">ROUND(O24+O243,2)</f>
        <v>1453670.6</v>
      </c>
      <c r="P276" s="2">
        <f t="shared" si="168"/>
        <v>819271.41</v>
      </c>
      <c r="Q276" s="2">
        <f t="shared" si="168"/>
        <v>212378.67</v>
      </c>
      <c r="R276" s="2">
        <f t="shared" si="168"/>
        <v>91422.9</v>
      </c>
      <c r="S276" s="2">
        <f t="shared" si="168"/>
        <v>330597.62</v>
      </c>
      <c r="T276" s="2">
        <f t="shared" si="168"/>
        <v>0</v>
      </c>
      <c r="U276" s="2">
        <f>U24+U243</f>
        <v>683.62939999999992</v>
      </c>
      <c r="V276" s="2">
        <f>V24+V243</f>
        <v>167.55665999999999</v>
      </c>
      <c r="W276" s="2">
        <f>ROUND(W24+W243,2)</f>
        <v>0</v>
      </c>
      <c r="X276" s="2">
        <f>ROUND(X24+X243,2)</f>
        <v>413381.56</v>
      </c>
      <c r="Y276" s="2">
        <f>ROUND(Y24+Y243,2)</f>
        <v>231554.62</v>
      </c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>
        <f t="shared" ref="AO276:BD276" si="169">ROUND(AO24+AO243,2)</f>
        <v>17632.439999999999</v>
      </c>
      <c r="AP276" s="2">
        <f t="shared" si="169"/>
        <v>0</v>
      </c>
      <c r="AQ276" s="2">
        <f t="shared" si="169"/>
        <v>0</v>
      </c>
      <c r="AR276" s="2">
        <f t="shared" si="169"/>
        <v>2098606.7799999998</v>
      </c>
      <c r="AS276" s="2">
        <f t="shared" si="169"/>
        <v>1268468.45</v>
      </c>
      <c r="AT276" s="2">
        <f t="shared" si="169"/>
        <v>719304.36</v>
      </c>
      <c r="AU276" s="2">
        <f t="shared" si="169"/>
        <v>110833.97</v>
      </c>
      <c r="AV276" s="2">
        <f t="shared" si="169"/>
        <v>801638.97</v>
      </c>
      <c r="AW276" s="2">
        <f t="shared" si="169"/>
        <v>819271.41</v>
      </c>
      <c r="AX276" s="2">
        <f t="shared" si="169"/>
        <v>17632.439999999999</v>
      </c>
      <c r="AY276" s="2">
        <f t="shared" si="169"/>
        <v>801638.97</v>
      </c>
      <c r="AZ276" s="2">
        <f t="shared" si="169"/>
        <v>0</v>
      </c>
      <c r="BA276" s="2">
        <f t="shared" si="169"/>
        <v>0</v>
      </c>
      <c r="BB276" s="2">
        <f t="shared" si="169"/>
        <v>0</v>
      </c>
      <c r="BC276" s="2">
        <f t="shared" si="169"/>
        <v>0</v>
      </c>
      <c r="BD276" s="2">
        <f t="shared" si="169"/>
        <v>0</v>
      </c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3"/>
      <c r="DH276" s="3"/>
      <c r="DI276" s="3"/>
      <c r="DJ276" s="3"/>
      <c r="DK276" s="3"/>
      <c r="DL276" s="3"/>
      <c r="DM276" s="3"/>
      <c r="DN276" s="3"/>
      <c r="DO276" s="3"/>
      <c r="DP276" s="3"/>
      <c r="DQ276" s="3"/>
      <c r="DR276" s="3"/>
      <c r="DS276" s="3"/>
      <c r="DT276" s="3"/>
      <c r="DU276" s="3"/>
      <c r="DV276" s="3"/>
      <c r="DW276" s="3"/>
      <c r="DX276" s="3"/>
      <c r="DY276" s="3"/>
      <c r="DZ276" s="3"/>
      <c r="EA276" s="3"/>
      <c r="EB276" s="3"/>
      <c r="EC276" s="3"/>
      <c r="ED276" s="3"/>
      <c r="EE276" s="3"/>
      <c r="EF276" s="3"/>
      <c r="EG276" s="3"/>
      <c r="EH276" s="3"/>
      <c r="EI276" s="3"/>
      <c r="EJ276" s="3"/>
      <c r="EK276" s="3"/>
      <c r="EL276" s="3"/>
      <c r="EM276" s="3"/>
      <c r="EN276" s="3"/>
      <c r="EO276" s="3"/>
      <c r="EP276" s="3"/>
      <c r="EQ276" s="3"/>
      <c r="ER276" s="3"/>
      <c r="ES276" s="3"/>
      <c r="ET276" s="3"/>
      <c r="EU276" s="3"/>
      <c r="EV276" s="3"/>
      <c r="EW276" s="3"/>
      <c r="EX276" s="3"/>
      <c r="EY276" s="3"/>
      <c r="EZ276" s="3"/>
      <c r="FA276" s="3"/>
      <c r="FB276" s="3"/>
      <c r="FC276" s="3"/>
      <c r="FD276" s="3"/>
      <c r="FE276" s="3"/>
      <c r="FF276" s="3"/>
      <c r="FG276" s="3"/>
      <c r="FH276" s="3"/>
      <c r="FI276" s="3"/>
      <c r="FJ276" s="3"/>
      <c r="FK276" s="3"/>
      <c r="FL276" s="3"/>
      <c r="FM276" s="3"/>
      <c r="FN276" s="3"/>
      <c r="FO276" s="3"/>
      <c r="FP276" s="3"/>
      <c r="FQ276" s="3"/>
      <c r="FR276" s="3"/>
      <c r="FS276" s="3"/>
      <c r="FT276" s="3"/>
      <c r="FU276" s="3"/>
      <c r="FV276" s="3"/>
      <c r="FW276" s="3"/>
      <c r="FX276" s="3"/>
      <c r="FY276" s="3"/>
      <c r="FZ276" s="3"/>
      <c r="GA276" s="3"/>
      <c r="GB276" s="3"/>
      <c r="GC276" s="3"/>
      <c r="GD276" s="3"/>
      <c r="GE276" s="3"/>
      <c r="GF276" s="3"/>
      <c r="GG276" s="3"/>
      <c r="GH276" s="3"/>
      <c r="GI276" s="3"/>
      <c r="GJ276" s="3"/>
      <c r="GK276" s="3"/>
      <c r="GL276" s="3"/>
      <c r="GM276" s="3"/>
      <c r="GN276" s="3"/>
      <c r="GO276" s="3"/>
      <c r="GP276" s="3"/>
      <c r="GQ276" s="3"/>
      <c r="GR276" s="3"/>
      <c r="GS276" s="3"/>
      <c r="GT276" s="3"/>
      <c r="GU276" s="3"/>
      <c r="GV276" s="3"/>
      <c r="GW276" s="3"/>
      <c r="GX276" s="3">
        <v>0</v>
      </c>
    </row>
    <row r="278" spans="1:206" x14ac:dyDescent="0.2">
      <c r="A278" s="4">
        <v>50</v>
      </c>
      <c r="B278" s="4">
        <v>0</v>
      </c>
      <c r="C278" s="4">
        <v>0</v>
      </c>
      <c r="D278" s="4">
        <v>1</v>
      </c>
      <c r="E278" s="4">
        <v>201</v>
      </c>
      <c r="F278" s="4">
        <f>ROUND(Source!O276,O278)</f>
        <v>1453670.6</v>
      </c>
      <c r="G278" s="4" t="s">
        <v>17</v>
      </c>
      <c r="H278" s="4" t="s">
        <v>18</v>
      </c>
      <c r="I278" s="4"/>
      <c r="J278" s="4"/>
      <c r="K278" s="4">
        <v>201</v>
      </c>
      <c r="L278" s="4">
        <v>1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1453670.5999999999</v>
      </c>
      <c r="X278" s="4">
        <v>1</v>
      </c>
      <c r="Y278" s="4">
        <v>1453670.5999999999</v>
      </c>
      <c r="Z278" s="4"/>
      <c r="AA278" s="4"/>
      <c r="AB278" s="4"/>
    </row>
    <row r="279" spans="1:206" x14ac:dyDescent="0.2">
      <c r="A279" s="4">
        <v>50</v>
      </c>
      <c r="B279" s="4">
        <v>0</v>
      </c>
      <c r="C279" s="4">
        <v>0</v>
      </c>
      <c r="D279" s="4">
        <v>1</v>
      </c>
      <c r="E279" s="4">
        <v>202</v>
      </c>
      <c r="F279" s="4">
        <f>ROUND(Source!P276,O279)</f>
        <v>819271.41</v>
      </c>
      <c r="G279" s="4" t="s">
        <v>19</v>
      </c>
      <c r="H279" s="4" t="s">
        <v>20</v>
      </c>
      <c r="I279" s="4"/>
      <c r="J279" s="4"/>
      <c r="K279" s="4">
        <v>202</v>
      </c>
      <c r="L279" s="4">
        <v>2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819271.41</v>
      </c>
      <c r="X279" s="4">
        <v>1</v>
      </c>
      <c r="Y279" s="4">
        <v>819271.41</v>
      </c>
      <c r="Z279" s="4"/>
      <c r="AA279" s="4"/>
      <c r="AB279" s="4"/>
    </row>
    <row r="280" spans="1:206" x14ac:dyDescent="0.2">
      <c r="A280" s="4">
        <v>50</v>
      </c>
      <c r="B280" s="4">
        <v>0</v>
      </c>
      <c r="C280" s="4">
        <v>0</v>
      </c>
      <c r="D280" s="4">
        <v>1</v>
      </c>
      <c r="E280" s="4">
        <v>222</v>
      </c>
      <c r="F280" s="4">
        <f>ROUND(Source!AO276,O280)</f>
        <v>17632.439999999999</v>
      </c>
      <c r="G280" s="4" t="s">
        <v>21</v>
      </c>
      <c r="H280" s="4" t="s">
        <v>22</v>
      </c>
      <c r="I280" s="4"/>
      <c r="J280" s="4"/>
      <c r="K280" s="4">
        <v>222</v>
      </c>
      <c r="L280" s="4">
        <v>3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17632.439999999999</v>
      </c>
      <c r="X280" s="4">
        <v>1</v>
      </c>
      <c r="Y280" s="4">
        <v>17632.439999999999</v>
      </c>
      <c r="Z280" s="4"/>
      <c r="AA280" s="4"/>
      <c r="AB280" s="4"/>
    </row>
    <row r="281" spans="1:206" x14ac:dyDescent="0.2">
      <c r="A281" s="4">
        <v>50</v>
      </c>
      <c r="B281" s="4">
        <v>0</v>
      </c>
      <c r="C281" s="4">
        <v>0</v>
      </c>
      <c r="D281" s="4">
        <v>1</v>
      </c>
      <c r="E281" s="4">
        <v>225</v>
      </c>
      <c r="F281" s="4">
        <f>ROUND(Source!AV276,O281)</f>
        <v>801638.97</v>
      </c>
      <c r="G281" s="4" t="s">
        <v>23</v>
      </c>
      <c r="H281" s="4" t="s">
        <v>24</v>
      </c>
      <c r="I281" s="4"/>
      <c r="J281" s="4"/>
      <c r="K281" s="4">
        <v>225</v>
      </c>
      <c r="L281" s="4">
        <v>4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819271.41</v>
      </c>
      <c r="X281" s="4">
        <v>1</v>
      </c>
      <c r="Y281" s="4">
        <v>819271.41</v>
      </c>
      <c r="Z281" s="4"/>
      <c r="AA281" s="4"/>
      <c r="AB281" s="4"/>
    </row>
    <row r="282" spans="1:206" x14ac:dyDescent="0.2">
      <c r="A282" s="4">
        <v>50</v>
      </c>
      <c r="B282" s="4">
        <v>0</v>
      </c>
      <c r="C282" s="4">
        <v>0</v>
      </c>
      <c r="D282" s="4">
        <v>1</v>
      </c>
      <c r="E282" s="4">
        <v>226</v>
      </c>
      <c r="F282" s="4">
        <f>ROUND(Source!AW276,O282)</f>
        <v>819271.41</v>
      </c>
      <c r="G282" s="4" t="s">
        <v>25</v>
      </c>
      <c r="H282" s="4" t="s">
        <v>26</v>
      </c>
      <c r="I282" s="4"/>
      <c r="J282" s="4"/>
      <c r="K282" s="4">
        <v>226</v>
      </c>
      <c r="L282" s="4">
        <v>5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819271.41</v>
      </c>
      <c r="X282" s="4">
        <v>1</v>
      </c>
      <c r="Y282" s="4">
        <v>819271.41</v>
      </c>
      <c r="Z282" s="4"/>
      <c r="AA282" s="4"/>
      <c r="AB282" s="4"/>
    </row>
    <row r="283" spans="1:206" x14ac:dyDescent="0.2">
      <c r="A283" s="4">
        <v>50</v>
      </c>
      <c r="B283" s="4">
        <v>0</v>
      </c>
      <c r="C283" s="4">
        <v>0</v>
      </c>
      <c r="D283" s="4">
        <v>1</v>
      </c>
      <c r="E283" s="4">
        <v>227</v>
      </c>
      <c r="F283" s="4">
        <f>ROUND(Source!AX276,O283)</f>
        <v>17632.439999999999</v>
      </c>
      <c r="G283" s="4" t="s">
        <v>27</v>
      </c>
      <c r="H283" s="4" t="s">
        <v>28</v>
      </c>
      <c r="I283" s="4"/>
      <c r="J283" s="4"/>
      <c r="K283" s="4">
        <v>227</v>
      </c>
      <c r="L283" s="4">
        <v>6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06" x14ac:dyDescent="0.2">
      <c r="A284" s="4">
        <v>50</v>
      </c>
      <c r="B284" s="4">
        <v>0</v>
      </c>
      <c r="C284" s="4">
        <v>0</v>
      </c>
      <c r="D284" s="4">
        <v>1</v>
      </c>
      <c r="E284" s="4">
        <v>228</v>
      </c>
      <c r="F284" s="4">
        <f>ROUND(Source!AY276,O284)</f>
        <v>801638.97</v>
      </c>
      <c r="G284" s="4" t="s">
        <v>29</v>
      </c>
      <c r="H284" s="4" t="s">
        <v>30</v>
      </c>
      <c r="I284" s="4"/>
      <c r="J284" s="4"/>
      <c r="K284" s="4">
        <v>228</v>
      </c>
      <c r="L284" s="4">
        <v>7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819271.41</v>
      </c>
      <c r="X284" s="4">
        <v>1</v>
      </c>
      <c r="Y284" s="4">
        <v>819271.41</v>
      </c>
      <c r="Z284" s="4"/>
      <c r="AA284" s="4"/>
      <c r="AB284" s="4"/>
    </row>
    <row r="285" spans="1:206" x14ac:dyDescent="0.2">
      <c r="A285" s="4">
        <v>50</v>
      </c>
      <c r="B285" s="4">
        <v>0</v>
      </c>
      <c r="C285" s="4">
        <v>0</v>
      </c>
      <c r="D285" s="4">
        <v>1</v>
      </c>
      <c r="E285" s="4">
        <v>216</v>
      </c>
      <c r="F285" s="4">
        <f>ROUND(Source!AP276,O285)</f>
        <v>0</v>
      </c>
      <c r="G285" s="4" t="s">
        <v>31</v>
      </c>
      <c r="H285" s="4" t="s">
        <v>32</v>
      </c>
      <c r="I285" s="4"/>
      <c r="J285" s="4"/>
      <c r="K285" s="4">
        <v>216</v>
      </c>
      <c r="L285" s="4">
        <v>8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06" x14ac:dyDescent="0.2">
      <c r="A286" s="4">
        <v>50</v>
      </c>
      <c r="B286" s="4">
        <v>0</v>
      </c>
      <c r="C286" s="4">
        <v>0</v>
      </c>
      <c r="D286" s="4">
        <v>1</v>
      </c>
      <c r="E286" s="4">
        <v>223</v>
      </c>
      <c r="F286" s="4">
        <f>ROUND(Source!AQ276,O286)</f>
        <v>0</v>
      </c>
      <c r="G286" s="4" t="s">
        <v>33</v>
      </c>
      <c r="H286" s="4" t="s">
        <v>34</v>
      </c>
      <c r="I286" s="4"/>
      <c r="J286" s="4"/>
      <c r="K286" s="4">
        <v>223</v>
      </c>
      <c r="L286" s="4">
        <v>9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06" x14ac:dyDescent="0.2">
      <c r="A287" s="4">
        <v>50</v>
      </c>
      <c r="B287" s="4">
        <v>0</v>
      </c>
      <c r="C287" s="4">
        <v>0</v>
      </c>
      <c r="D287" s="4">
        <v>1</v>
      </c>
      <c r="E287" s="4">
        <v>229</v>
      </c>
      <c r="F287" s="4">
        <f>ROUND(Source!AZ276,O287)</f>
        <v>0</v>
      </c>
      <c r="G287" s="4" t="s">
        <v>35</v>
      </c>
      <c r="H287" s="4" t="s">
        <v>36</v>
      </c>
      <c r="I287" s="4"/>
      <c r="J287" s="4"/>
      <c r="K287" s="4">
        <v>229</v>
      </c>
      <c r="L287" s="4">
        <v>10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06" x14ac:dyDescent="0.2">
      <c r="A288" s="4">
        <v>50</v>
      </c>
      <c r="B288" s="4">
        <v>0</v>
      </c>
      <c r="C288" s="4">
        <v>0</v>
      </c>
      <c r="D288" s="4">
        <v>1</v>
      </c>
      <c r="E288" s="4">
        <v>203</v>
      </c>
      <c r="F288" s="4">
        <f>ROUND(Source!Q276,O288)</f>
        <v>212378.67</v>
      </c>
      <c r="G288" s="4" t="s">
        <v>37</v>
      </c>
      <c r="H288" s="4" t="s">
        <v>38</v>
      </c>
      <c r="I288" s="4"/>
      <c r="J288" s="4"/>
      <c r="K288" s="4">
        <v>203</v>
      </c>
      <c r="L288" s="4">
        <v>11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212378.66999999998</v>
      </c>
      <c r="X288" s="4">
        <v>1</v>
      </c>
      <c r="Y288" s="4">
        <v>212378.66999999998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231</v>
      </c>
      <c r="F289" s="4">
        <f>ROUND(Source!BB276,O289)</f>
        <v>0</v>
      </c>
      <c r="G289" s="4" t="s">
        <v>39</v>
      </c>
      <c r="H289" s="4" t="s">
        <v>40</v>
      </c>
      <c r="I289" s="4"/>
      <c r="J289" s="4"/>
      <c r="K289" s="4">
        <v>231</v>
      </c>
      <c r="L289" s="4">
        <v>12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204</v>
      </c>
      <c r="F290" s="4">
        <f>ROUND(Source!R276,O290)</f>
        <v>91422.9</v>
      </c>
      <c r="G290" s="4" t="s">
        <v>41</v>
      </c>
      <c r="H290" s="4" t="s">
        <v>42</v>
      </c>
      <c r="I290" s="4"/>
      <c r="J290" s="4"/>
      <c r="K290" s="4">
        <v>204</v>
      </c>
      <c r="L290" s="4">
        <v>13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91422.900000000009</v>
      </c>
      <c r="X290" s="4">
        <v>1</v>
      </c>
      <c r="Y290" s="4">
        <v>91422.900000000009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205</v>
      </c>
      <c r="F291" s="4">
        <f>ROUND(Source!S276,O291)</f>
        <v>330597.62</v>
      </c>
      <c r="G291" s="4" t="s">
        <v>43</v>
      </c>
      <c r="H291" s="4" t="s">
        <v>44</v>
      </c>
      <c r="I291" s="4"/>
      <c r="J291" s="4"/>
      <c r="K291" s="4">
        <v>205</v>
      </c>
      <c r="L291" s="4">
        <v>14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330597.62</v>
      </c>
      <c r="X291" s="4">
        <v>1</v>
      </c>
      <c r="Y291" s="4">
        <v>330597.62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232</v>
      </c>
      <c r="F292" s="4">
        <f>ROUND(Source!BC276,O292)</f>
        <v>0</v>
      </c>
      <c r="G292" s="4" t="s">
        <v>45</v>
      </c>
      <c r="H292" s="4" t="s">
        <v>46</v>
      </c>
      <c r="I292" s="4"/>
      <c r="J292" s="4"/>
      <c r="K292" s="4">
        <v>232</v>
      </c>
      <c r="L292" s="4">
        <v>15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214</v>
      </c>
      <c r="F293" s="4">
        <f>ROUND(Source!AS276,O293)</f>
        <v>1268468.45</v>
      </c>
      <c r="G293" s="4" t="s">
        <v>47</v>
      </c>
      <c r="H293" s="4" t="s">
        <v>48</v>
      </c>
      <c r="I293" s="4"/>
      <c r="J293" s="4"/>
      <c r="K293" s="4">
        <v>214</v>
      </c>
      <c r="L293" s="4">
        <v>16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1268468.45</v>
      </c>
      <c r="X293" s="4">
        <v>1</v>
      </c>
      <c r="Y293" s="4">
        <v>1268468.45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215</v>
      </c>
      <c r="F294" s="4">
        <f>ROUND(Source!AT276,O294)</f>
        <v>719304.36</v>
      </c>
      <c r="G294" s="4" t="s">
        <v>49</v>
      </c>
      <c r="H294" s="4" t="s">
        <v>50</v>
      </c>
      <c r="I294" s="4"/>
      <c r="J294" s="4"/>
      <c r="K294" s="4">
        <v>215</v>
      </c>
      <c r="L294" s="4">
        <v>17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719304.36</v>
      </c>
      <c r="X294" s="4">
        <v>1</v>
      </c>
      <c r="Y294" s="4">
        <v>719304.36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217</v>
      </c>
      <c r="F295" s="4">
        <f>ROUND(Source!AU276,O295)</f>
        <v>110833.97</v>
      </c>
      <c r="G295" s="4" t="s">
        <v>51</v>
      </c>
      <c r="H295" s="4" t="s">
        <v>52</v>
      </c>
      <c r="I295" s="4"/>
      <c r="J295" s="4"/>
      <c r="K295" s="4">
        <v>217</v>
      </c>
      <c r="L295" s="4">
        <v>18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110833.97</v>
      </c>
      <c r="X295" s="4">
        <v>1</v>
      </c>
      <c r="Y295" s="4">
        <v>110833.97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230</v>
      </c>
      <c r="F296" s="4">
        <f>ROUND(Source!BA276,O296)</f>
        <v>0</v>
      </c>
      <c r="G296" s="4" t="s">
        <v>53</v>
      </c>
      <c r="H296" s="4" t="s">
        <v>54</v>
      </c>
      <c r="I296" s="4"/>
      <c r="J296" s="4"/>
      <c r="K296" s="4">
        <v>230</v>
      </c>
      <c r="L296" s="4">
        <v>19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206</v>
      </c>
      <c r="F297" s="4">
        <f>ROUND(Source!T276,O297)</f>
        <v>0</v>
      </c>
      <c r="G297" s="4" t="s">
        <v>55</v>
      </c>
      <c r="H297" s="4" t="s">
        <v>56</v>
      </c>
      <c r="I297" s="4"/>
      <c r="J297" s="4"/>
      <c r="K297" s="4">
        <v>206</v>
      </c>
      <c r="L297" s="4">
        <v>20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207</v>
      </c>
      <c r="F298" s="4">
        <f>ROUND(Source!U276,O298)</f>
        <v>683.62940000000003</v>
      </c>
      <c r="G298" s="4" t="s">
        <v>57</v>
      </c>
      <c r="H298" s="4" t="s">
        <v>58</v>
      </c>
      <c r="I298" s="4"/>
      <c r="J298" s="4"/>
      <c r="K298" s="4">
        <v>207</v>
      </c>
      <c r="L298" s="4">
        <v>21</v>
      </c>
      <c r="M298" s="4">
        <v>3</v>
      </c>
      <c r="N298" s="4" t="s">
        <v>3</v>
      </c>
      <c r="O298" s="4">
        <v>7</v>
      </c>
      <c r="P298" s="4"/>
      <c r="Q298" s="4"/>
      <c r="R298" s="4"/>
      <c r="S298" s="4"/>
      <c r="T298" s="4"/>
      <c r="U298" s="4"/>
      <c r="V298" s="4"/>
      <c r="W298" s="4">
        <v>683.62940000000003</v>
      </c>
      <c r="X298" s="4">
        <v>1</v>
      </c>
      <c r="Y298" s="4">
        <v>683.62940000000003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208</v>
      </c>
      <c r="F299" s="4">
        <f>ROUND(Source!V276,O299)</f>
        <v>167.55665999999999</v>
      </c>
      <c r="G299" s="4" t="s">
        <v>59</v>
      </c>
      <c r="H299" s="4" t="s">
        <v>60</v>
      </c>
      <c r="I299" s="4"/>
      <c r="J299" s="4"/>
      <c r="K299" s="4">
        <v>208</v>
      </c>
      <c r="L299" s="4">
        <v>22</v>
      </c>
      <c r="M299" s="4">
        <v>3</v>
      </c>
      <c r="N299" s="4" t="s">
        <v>3</v>
      </c>
      <c r="O299" s="4">
        <v>7</v>
      </c>
      <c r="P299" s="4"/>
      <c r="Q299" s="4"/>
      <c r="R299" s="4"/>
      <c r="S299" s="4"/>
      <c r="T299" s="4"/>
      <c r="U299" s="4"/>
      <c r="V299" s="4"/>
      <c r="W299" s="4">
        <v>167.55665999999999</v>
      </c>
      <c r="X299" s="4">
        <v>1</v>
      </c>
      <c r="Y299" s="4">
        <v>167.55665999999999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209</v>
      </c>
      <c r="F300" s="4">
        <f>ROUND(Source!W276,O300)</f>
        <v>0</v>
      </c>
      <c r="G300" s="4" t="s">
        <v>61</v>
      </c>
      <c r="H300" s="4" t="s">
        <v>62</v>
      </c>
      <c r="I300" s="4"/>
      <c r="J300" s="4"/>
      <c r="K300" s="4">
        <v>209</v>
      </c>
      <c r="L300" s="4">
        <v>23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233</v>
      </c>
      <c r="F301" s="4">
        <f>ROUND(Source!BD276,O301)</f>
        <v>0</v>
      </c>
      <c r="G301" s="4" t="s">
        <v>63</v>
      </c>
      <c r="H301" s="4" t="s">
        <v>64</v>
      </c>
      <c r="I301" s="4"/>
      <c r="J301" s="4"/>
      <c r="K301" s="4">
        <v>233</v>
      </c>
      <c r="L301" s="4">
        <v>24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210</v>
      </c>
      <c r="F302" s="4">
        <f>ROUND(Source!X276,O302)</f>
        <v>413381.56</v>
      </c>
      <c r="G302" s="4" t="s">
        <v>65</v>
      </c>
      <c r="H302" s="4" t="s">
        <v>66</v>
      </c>
      <c r="I302" s="4"/>
      <c r="J302" s="4"/>
      <c r="K302" s="4">
        <v>210</v>
      </c>
      <c r="L302" s="4">
        <v>25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413381.56</v>
      </c>
      <c r="X302" s="4">
        <v>1</v>
      </c>
      <c r="Y302" s="4">
        <v>413381.56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211</v>
      </c>
      <c r="F303" s="4">
        <f>ROUND(Source!Y276,O303)</f>
        <v>231554.62</v>
      </c>
      <c r="G303" s="4" t="s">
        <v>67</v>
      </c>
      <c r="H303" s="4" t="s">
        <v>68</v>
      </c>
      <c r="I303" s="4"/>
      <c r="J303" s="4"/>
      <c r="K303" s="4">
        <v>211</v>
      </c>
      <c r="L303" s="4">
        <v>26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231554.62</v>
      </c>
      <c r="X303" s="4">
        <v>1</v>
      </c>
      <c r="Y303" s="4">
        <v>231554.62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224</v>
      </c>
      <c r="F304" s="4">
        <f>ROUND(Source!AR276,O304)</f>
        <v>2098606.7799999998</v>
      </c>
      <c r="G304" s="4" t="s">
        <v>69</v>
      </c>
      <c r="H304" s="4" t="s">
        <v>70</v>
      </c>
      <c r="I304" s="4"/>
      <c r="J304" s="4"/>
      <c r="K304" s="4">
        <v>224</v>
      </c>
      <c r="L304" s="4">
        <v>27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2098606.7799999998</v>
      </c>
      <c r="X304" s="4">
        <v>1</v>
      </c>
      <c r="Y304" s="4">
        <v>2098606.7799999998</v>
      </c>
      <c r="Z304" s="4"/>
      <c r="AA304" s="4"/>
      <c r="AB304" s="4"/>
    </row>
    <row r="306" spans="1:16" x14ac:dyDescent="0.2">
      <c r="A306">
        <v>71</v>
      </c>
      <c r="B306">
        <v>1</v>
      </c>
      <c r="D306">
        <v>200001</v>
      </c>
      <c r="E306">
        <v>56151601</v>
      </c>
      <c r="F306" t="s">
        <v>292</v>
      </c>
      <c r="G306" t="s">
        <v>293</v>
      </c>
      <c r="H306">
        <v>80</v>
      </c>
      <c r="I306">
        <v>20</v>
      </c>
    </row>
    <row r="309" spans="1:16" x14ac:dyDescent="0.2">
      <c r="A309">
        <v>70</v>
      </c>
      <c r="B309">
        <v>1</v>
      </c>
      <c r="D309">
        <v>1</v>
      </c>
      <c r="E309" t="s">
        <v>294</v>
      </c>
      <c r="F309" t="s">
        <v>295</v>
      </c>
      <c r="G309">
        <v>1</v>
      </c>
      <c r="H309">
        <v>0</v>
      </c>
      <c r="I309" t="s">
        <v>3</v>
      </c>
      <c r="J309">
        <v>1</v>
      </c>
      <c r="K309">
        <v>0</v>
      </c>
      <c r="L309" t="s">
        <v>3</v>
      </c>
      <c r="M309" t="s">
        <v>3</v>
      </c>
      <c r="N309">
        <v>0</v>
      </c>
      <c r="P309" t="s">
        <v>296</v>
      </c>
    </row>
    <row r="310" spans="1:16" x14ac:dyDescent="0.2">
      <c r="A310">
        <v>70</v>
      </c>
      <c r="B310">
        <v>1</v>
      </c>
      <c r="D310">
        <v>2</v>
      </c>
      <c r="E310" t="s">
        <v>297</v>
      </c>
      <c r="F310" t="s">
        <v>298</v>
      </c>
      <c r="G310">
        <v>0</v>
      </c>
      <c r="H310">
        <v>0</v>
      </c>
      <c r="I310" t="s">
        <v>3</v>
      </c>
      <c r="J310">
        <v>1</v>
      </c>
      <c r="K310">
        <v>0</v>
      </c>
      <c r="L310" t="s">
        <v>3</v>
      </c>
      <c r="M310" t="s">
        <v>3</v>
      </c>
      <c r="N310">
        <v>0</v>
      </c>
      <c r="P310" t="s">
        <v>299</v>
      </c>
    </row>
    <row r="311" spans="1:16" x14ac:dyDescent="0.2">
      <c r="A311">
        <v>70</v>
      </c>
      <c r="B311">
        <v>1</v>
      </c>
      <c r="D311">
        <v>3</v>
      </c>
      <c r="E311" t="s">
        <v>300</v>
      </c>
      <c r="F311" t="s">
        <v>301</v>
      </c>
      <c r="G311">
        <v>0</v>
      </c>
      <c r="H311">
        <v>0</v>
      </c>
      <c r="I311" t="s">
        <v>3</v>
      </c>
      <c r="J311">
        <v>1</v>
      </c>
      <c r="K311">
        <v>0</v>
      </c>
      <c r="L311" t="s">
        <v>3</v>
      </c>
      <c r="M311" t="s">
        <v>3</v>
      </c>
      <c r="N311">
        <v>0</v>
      </c>
      <c r="P311" t="s">
        <v>302</v>
      </c>
    </row>
    <row r="312" spans="1:16" x14ac:dyDescent="0.2">
      <c r="A312">
        <v>70</v>
      </c>
      <c r="B312">
        <v>1</v>
      </c>
      <c r="D312">
        <v>4</v>
      </c>
      <c r="E312" t="s">
        <v>303</v>
      </c>
      <c r="F312" t="s">
        <v>304</v>
      </c>
      <c r="G312">
        <v>1</v>
      </c>
      <c r="H312">
        <v>0</v>
      </c>
      <c r="I312" t="s">
        <v>3</v>
      </c>
      <c r="J312">
        <v>2</v>
      </c>
      <c r="K312">
        <v>0</v>
      </c>
      <c r="L312" t="s">
        <v>3</v>
      </c>
      <c r="M312" t="s">
        <v>3</v>
      </c>
      <c r="N312">
        <v>0</v>
      </c>
      <c r="P312" t="s">
        <v>3</v>
      </c>
    </row>
    <row r="313" spans="1:16" x14ac:dyDescent="0.2">
      <c r="A313">
        <v>70</v>
      </c>
      <c r="B313">
        <v>1</v>
      </c>
      <c r="D313">
        <v>5</v>
      </c>
      <c r="E313" t="s">
        <v>305</v>
      </c>
      <c r="F313" t="s">
        <v>306</v>
      </c>
      <c r="G313">
        <v>0</v>
      </c>
      <c r="H313">
        <v>0</v>
      </c>
      <c r="I313" t="s">
        <v>3</v>
      </c>
      <c r="J313">
        <v>2</v>
      </c>
      <c r="K313">
        <v>0</v>
      </c>
      <c r="L313" t="s">
        <v>3</v>
      </c>
      <c r="M313" t="s">
        <v>3</v>
      </c>
      <c r="N313">
        <v>0</v>
      </c>
      <c r="P313" t="s">
        <v>3</v>
      </c>
    </row>
    <row r="314" spans="1:16" x14ac:dyDescent="0.2">
      <c r="A314">
        <v>70</v>
      </c>
      <c r="B314">
        <v>1</v>
      </c>
      <c r="D314">
        <v>6</v>
      </c>
      <c r="E314" t="s">
        <v>307</v>
      </c>
      <c r="F314" t="s">
        <v>308</v>
      </c>
      <c r="G314">
        <v>0</v>
      </c>
      <c r="H314">
        <v>0</v>
      </c>
      <c r="I314" t="s">
        <v>3</v>
      </c>
      <c r="J314">
        <v>2</v>
      </c>
      <c r="K314">
        <v>0</v>
      </c>
      <c r="L314" t="s">
        <v>3</v>
      </c>
      <c r="M314" t="s">
        <v>3</v>
      </c>
      <c r="N314">
        <v>0</v>
      </c>
      <c r="P314" t="s">
        <v>3</v>
      </c>
    </row>
    <row r="315" spans="1:16" x14ac:dyDescent="0.2">
      <c r="A315">
        <v>70</v>
      </c>
      <c r="B315">
        <v>1</v>
      </c>
      <c r="D315">
        <v>7</v>
      </c>
      <c r="E315" t="s">
        <v>309</v>
      </c>
      <c r="F315" t="s">
        <v>310</v>
      </c>
      <c r="G315">
        <v>0</v>
      </c>
      <c r="H315">
        <v>0</v>
      </c>
      <c r="I315" t="s">
        <v>311</v>
      </c>
      <c r="J315">
        <v>0</v>
      </c>
      <c r="K315">
        <v>0</v>
      </c>
      <c r="L315" t="s">
        <v>3</v>
      </c>
      <c r="M315" t="s">
        <v>3</v>
      </c>
      <c r="N315">
        <v>0</v>
      </c>
      <c r="P315" t="s">
        <v>312</v>
      </c>
    </row>
    <row r="316" spans="1:16" x14ac:dyDescent="0.2">
      <c r="A316">
        <v>70</v>
      </c>
      <c r="B316">
        <v>1</v>
      </c>
      <c r="D316">
        <v>8</v>
      </c>
      <c r="E316" t="s">
        <v>313</v>
      </c>
      <c r="F316" t="s">
        <v>314</v>
      </c>
      <c r="G316">
        <v>1</v>
      </c>
      <c r="H316">
        <v>0</v>
      </c>
      <c r="I316" t="s">
        <v>3</v>
      </c>
      <c r="J316">
        <v>5</v>
      </c>
      <c r="K316">
        <v>0</v>
      </c>
      <c r="L316" t="s">
        <v>3</v>
      </c>
      <c r="M316" t="s">
        <v>3</v>
      </c>
      <c r="N316">
        <v>0</v>
      </c>
      <c r="P316" t="s">
        <v>3</v>
      </c>
    </row>
    <row r="317" spans="1:16" x14ac:dyDescent="0.2">
      <c r="A317">
        <v>70</v>
      </c>
      <c r="B317">
        <v>1</v>
      </c>
      <c r="D317">
        <v>9</v>
      </c>
      <c r="E317" t="s">
        <v>315</v>
      </c>
      <c r="F317" t="s">
        <v>316</v>
      </c>
      <c r="G317">
        <v>0</v>
      </c>
      <c r="H317">
        <v>0</v>
      </c>
      <c r="I317" t="s">
        <v>3</v>
      </c>
      <c r="J317">
        <v>5</v>
      </c>
      <c r="K317">
        <v>0</v>
      </c>
      <c r="L317" t="s">
        <v>3</v>
      </c>
      <c r="M317" t="s">
        <v>3</v>
      </c>
      <c r="N317">
        <v>0</v>
      </c>
      <c r="P317" t="s">
        <v>317</v>
      </c>
    </row>
    <row r="318" spans="1:16" x14ac:dyDescent="0.2">
      <c r="A318">
        <v>70</v>
      </c>
      <c r="B318">
        <v>1</v>
      </c>
      <c r="D318">
        <v>10</v>
      </c>
      <c r="E318" t="s">
        <v>318</v>
      </c>
      <c r="F318" t="s">
        <v>319</v>
      </c>
      <c r="G318">
        <v>0</v>
      </c>
      <c r="H318">
        <v>0</v>
      </c>
      <c r="I318" t="s">
        <v>320</v>
      </c>
      <c r="J318">
        <v>5</v>
      </c>
      <c r="K318">
        <v>0</v>
      </c>
      <c r="L318" t="s">
        <v>3</v>
      </c>
      <c r="M318" t="s">
        <v>3</v>
      </c>
      <c r="N318">
        <v>0</v>
      </c>
      <c r="P318" t="s">
        <v>321</v>
      </c>
    </row>
    <row r="319" spans="1:16" x14ac:dyDescent="0.2">
      <c r="A319">
        <v>70</v>
      </c>
      <c r="B319">
        <v>1</v>
      </c>
      <c r="D319">
        <v>11</v>
      </c>
      <c r="E319" t="s">
        <v>322</v>
      </c>
      <c r="F319" t="s">
        <v>323</v>
      </c>
      <c r="G319">
        <v>0</v>
      </c>
      <c r="H319">
        <v>0</v>
      </c>
      <c r="I319" t="s">
        <v>324</v>
      </c>
      <c r="J319">
        <v>0</v>
      </c>
      <c r="K319">
        <v>0</v>
      </c>
      <c r="L319" t="s">
        <v>3</v>
      </c>
      <c r="M319" t="s">
        <v>3</v>
      </c>
      <c r="N319">
        <v>0</v>
      </c>
      <c r="P319" t="s">
        <v>325</v>
      </c>
    </row>
    <row r="320" spans="1:16" x14ac:dyDescent="0.2">
      <c r="A320">
        <v>70</v>
      </c>
      <c r="B320">
        <v>1</v>
      </c>
      <c r="D320">
        <v>12</v>
      </c>
      <c r="E320" t="s">
        <v>326</v>
      </c>
      <c r="F320" t="s">
        <v>327</v>
      </c>
      <c r="G320">
        <v>0</v>
      </c>
      <c r="H320">
        <v>0</v>
      </c>
      <c r="I320" t="s">
        <v>328</v>
      </c>
      <c r="J320">
        <v>0</v>
      </c>
      <c r="K320">
        <v>0</v>
      </c>
      <c r="L320" t="s">
        <v>3</v>
      </c>
      <c r="M320" t="s">
        <v>3</v>
      </c>
      <c r="N320">
        <v>0</v>
      </c>
      <c r="P320" t="s">
        <v>329</v>
      </c>
    </row>
    <row r="321" spans="1:40" x14ac:dyDescent="0.2">
      <c r="A321">
        <v>70</v>
      </c>
      <c r="B321">
        <v>1</v>
      </c>
      <c r="D321">
        <v>13</v>
      </c>
      <c r="E321" t="s">
        <v>330</v>
      </c>
      <c r="F321" t="s">
        <v>331</v>
      </c>
      <c r="G321">
        <v>0</v>
      </c>
      <c r="H321">
        <v>0</v>
      </c>
      <c r="I321" t="s">
        <v>332</v>
      </c>
      <c r="J321">
        <v>0</v>
      </c>
      <c r="K321">
        <v>0</v>
      </c>
      <c r="L321" t="s">
        <v>3</v>
      </c>
      <c r="M321" t="s">
        <v>3</v>
      </c>
      <c r="N321">
        <v>0</v>
      </c>
      <c r="P321" t="s">
        <v>333</v>
      </c>
    </row>
    <row r="322" spans="1:40" x14ac:dyDescent="0.2">
      <c r="A322">
        <v>70</v>
      </c>
      <c r="B322">
        <v>1</v>
      </c>
      <c r="D322">
        <v>14</v>
      </c>
      <c r="E322" t="s">
        <v>334</v>
      </c>
      <c r="F322" t="s">
        <v>335</v>
      </c>
      <c r="G322">
        <v>0</v>
      </c>
      <c r="H322">
        <v>0</v>
      </c>
      <c r="I322" t="s">
        <v>3</v>
      </c>
      <c r="J322">
        <v>0</v>
      </c>
      <c r="K322">
        <v>0</v>
      </c>
      <c r="L322" t="s">
        <v>3</v>
      </c>
      <c r="M322" t="s">
        <v>3</v>
      </c>
      <c r="N322">
        <v>0</v>
      </c>
      <c r="P322" t="s">
        <v>3</v>
      </c>
    </row>
    <row r="323" spans="1:40" x14ac:dyDescent="0.2">
      <c r="A323">
        <v>70</v>
      </c>
      <c r="B323">
        <v>1</v>
      </c>
      <c r="D323">
        <v>15</v>
      </c>
      <c r="E323" t="s">
        <v>336</v>
      </c>
      <c r="F323" t="s">
        <v>337</v>
      </c>
      <c r="G323">
        <v>0</v>
      </c>
      <c r="H323">
        <v>0</v>
      </c>
      <c r="I323" t="s">
        <v>3</v>
      </c>
      <c r="J323">
        <v>0</v>
      </c>
      <c r="K323">
        <v>0</v>
      </c>
      <c r="L323" t="s">
        <v>3</v>
      </c>
      <c r="M323" t="s">
        <v>3</v>
      </c>
      <c r="N323">
        <v>0</v>
      </c>
      <c r="P323" t="s">
        <v>338</v>
      </c>
    </row>
    <row r="324" spans="1:40" x14ac:dyDescent="0.2">
      <c r="A324">
        <v>70</v>
      </c>
      <c r="B324">
        <v>1</v>
      </c>
      <c r="D324">
        <v>16</v>
      </c>
      <c r="E324" t="s">
        <v>339</v>
      </c>
      <c r="F324" t="s">
        <v>340</v>
      </c>
      <c r="G324">
        <v>0</v>
      </c>
      <c r="H324">
        <v>0</v>
      </c>
      <c r="I324" t="s">
        <v>3</v>
      </c>
      <c r="J324">
        <v>3</v>
      </c>
      <c r="K324">
        <v>0</v>
      </c>
      <c r="L324" t="s">
        <v>3</v>
      </c>
      <c r="M324" t="s">
        <v>3</v>
      </c>
      <c r="N324">
        <v>0</v>
      </c>
      <c r="P324" t="s">
        <v>3</v>
      </c>
    </row>
    <row r="325" spans="1:40" x14ac:dyDescent="0.2">
      <c r="A325">
        <v>70</v>
      </c>
      <c r="B325">
        <v>1</v>
      </c>
      <c r="D325">
        <v>17</v>
      </c>
      <c r="E325" t="s">
        <v>341</v>
      </c>
      <c r="F325" t="s">
        <v>342</v>
      </c>
      <c r="G325">
        <v>1</v>
      </c>
      <c r="H325">
        <v>0</v>
      </c>
      <c r="I325" t="s">
        <v>3</v>
      </c>
      <c r="J325">
        <v>3</v>
      </c>
      <c r="K325">
        <v>0</v>
      </c>
      <c r="L325" t="s">
        <v>3</v>
      </c>
      <c r="M325" t="s">
        <v>3</v>
      </c>
      <c r="N325">
        <v>0</v>
      </c>
      <c r="P325" t="s">
        <v>3</v>
      </c>
    </row>
    <row r="326" spans="1:40" x14ac:dyDescent="0.2">
      <c r="A326">
        <v>70</v>
      </c>
      <c r="B326">
        <v>1</v>
      </c>
      <c r="D326">
        <v>1</v>
      </c>
      <c r="E326" t="s">
        <v>343</v>
      </c>
      <c r="F326" t="s">
        <v>344</v>
      </c>
      <c r="G326">
        <v>0.9</v>
      </c>
      <c r="H326">
        <v>1</v>
      </c>
      <c r="I326" t="s">
        <v>345</v>
      </c>
      <c r="J326">
        <v>0</v>
      </c>
      <c r="K326">
        <v>0</v>
      </c>
      <c r="L326" t="s">
        <v>3</v>
      </c>
      <c r="M326" t="s">
        <v>3</v>
      </c>
      <c r="N326">
        <v>0</v>
      </c>
      <c r="P326" t="s">
        <v>346</v>
      </c>
    </row>
    <row r="327" spans="1:40" x14ac:dyDescent="0.2">
      <c r="A327">
        <v>70</v>
      </c>
      <c r="B327">
        <v>1</v>
      </c>
      <c r="D327">
        <v>2</v>
      </c>
      <c r="E327" t="s">
        <v>347</v>
      </c>
      <c r="F327" t="s">
        <v>348</v>
      </c>
      <c r="G327">
        <v>0.85</v>
      </c>
      <c r="H327">
        <v>1</v>
      </c>
      <c r="I327" t="s">
        <v>349</v>
      </c>
      <c r="J327">
        <v>0</v>
      </c>
      <c r="K327">
        <v>0</v>
      </c>
      <c r="L327" t="s">
        <v>3</v>
      </c>
      <c r="M327" t="s">
        <v>3</v>
      </c>
      <c r="N327">
        <v>0</v>
      </c>
      <c r="P327" t="s">
        <v>350</v>
      </c>
    </row>
    <row r="328" spans="1:40" x14ac:dyDescent="0.2">
      <c r="A328">
        <v>70</v>
      </c>
      <c r="B328">
        <v>1</v>
      </c>
      <c r="D328">
        <v>3</v>
      </c>
      <c r="E328" t="s">
        <v>351</v>
      </c>
      <c r="F328" t="s">
        <v>352</v>
      </c>
      <c r="G328">
        <v>1.03</v>
      </c>
      <c r="H328">
        <v>0</v>
      </c>
      <c r="I328" t="s">
        <v>3</v>
      </c>
      <c r="J328">
        <v>0</v>
      </c>
      <c r="K328">
        <v>0</v>
      </c>
      <c r="L328" t="s">
        <v>3</v>
      </c>
      <c r="M328" t="s">
        <v>3</v>
      </c>
      <c r="N328">
        <v>0</v>
      </c>
      <c r="P328" t="s">
        <v>353</v>
      </c>
    </row>
    <row r="329" spans="1:40" x14ac:dyDescent="0.2">
      <c r="A329">
        <v>70</v>
      </c>
      <c r="B329">
        <v>1</v>
      </c>
      <c r="D329">
        <v>4</v>
      </c>
      <c r="E329" t="s">
        <v>354</v>
      </c>
      <c r="F329" t="s">
        <v>355</v>
      </c>
      <c r="G329">
        <v>1.1499999999999999</v>
      </c>
      <c r="H329">
        <v>0</v>
      </c>
      <c r="I329" t="s">
        <v>3</v>
      </c>
      <c r="J329">
        <v>0</v>
      </c>
      <c r="K329">
        <v>0</v>
      </c>
      <c r="L329" t="s">
        <v>3</v>
      </c>
      <c r="M329" t="s">
        <v>3</v>
      </c>
      <c r="N329">
        <v>0</v>
      </c>
      <c r="P329" t="s">
        <v>356</v>
      </c>
    </row>
    <row r="330" spans="1:40" x14ac:dyDescent="0.2">
      <c r="A330">
        <v>70</v>
      </c>
      <c r="B330">
        <v>1</v>
      </c>
      <c r="D330">
        <v>5</v>
      </c>
      <c r="E330" t="s">
        <v>357</v>
      </c>
      <c r="F330" t="s">
        <v>358</v>
      </c>
      <c r="G330">
        <v>7</v>
      </c>
      <c r="H330">
        <v>0</v>
      </c>
      <c r="I330" t="s">
        <v>3</v>
      </c>
      <c r="J330">
        <v>0</v>
      </c>
      <c r="K330">
        <v>0</v>
      </c>
      <c r="L330" t="s">
        <v>3</v>
      </c>
      <c r="M330" t="s">
        <v>3</v>
      </c>
      <c r="N330">
        <v>0</v>
      </c>
      <c r="P330" t="s">
        <v>3</v>
      </c>
    </row>
    <row r="331" spans="1:40" x14ac:dyDescent="0.2">
      <c r="A331">
        <v>70</v>
      </c>
      <c r="B331">
        <v>1</v>
      </c>
      <c r="D331">
        <v>6</v>
      </c>
      <c r="E331" t="s">
        <v>359</v>
      </c>
      <c r="F331" t="s">
        <v>3</v>
      </c>
      <c r="G331">
        <v>2</v>
      </c>
      <c r="H331">
        <v>0</v>
      </c>
      <c r="I331" t="s">
        <v>3</v>
      </c>
      <c r="J331">
        <v>0</v>
      </c>
      <c r="K331">
        <v>0</v>
      </c>
      <c r="L331" t="s">
        <v>3</v>
      </c>
      <c r="M331" t="s">
        <v>3</v>
      </c>
      <c r="N331">
        <v>0</v>
      </c>
      <c r="P331" t="s">
        <v>3</v>
      </c>
    </row>
    <row r="333" spans="1:40" x14ac:dyDescent="0.2">
      <c r="A333">
        <v>-1</v>
      </c>
    </row>
    <row r="335" spans="1:40" x14ac:dyDescent="0.2">
      <c r="A335" s="3">
        <v>75</v>
      </c>
      <c r="B335" s="3" t="s">
        <v>360</v>
      </c>
      <c r="C335" s="3">
        <v>2024</v>
      </c>
      <c r="D335" s="3">
        <v>0</v>
      </c>
      <c r="E335" s="3">
        <v>12</v>
      </c>
      <c r="F335" s="3">
        <v>1</v>
      </c>
      <c r="G335" s="3">
        <v>0</v>
      </c>
      <c r="H335" s="3">
        <v>1</v>
      </c>
      <c r="I335" s="3">
        <v>0</v>
      </c>
      <c r="J335" s="3">
        <v>3</v>
      </c>
      <c r="K335" s="3">
        <v>0</v>
      </c>
      <c r="L335" s="3">
        <v>0</v>
      </c>
      <c r="M335" s="3">
        <v>0</v>
      </c>
      <c r="N335" s="3">
        <v>65178645</v>
      </c>
      <c r="O335" s="3">
        <v>1</v>
      </c>
    </row>
    <row r="336" spans="1:40" x14ac:dyDescent="0.2">
      <c r="A336" s="5">
        <v>2</v>
      </c>
      <c r="B336" s="5" t="s">
        <v>361</v>
      </c>
      <c r="C336" s="5" t="s">
        <v>362</v>
      </c>
      <c r="D336" s="5">
        <v>0</v>
      </c>
      <c r="E336" s="5">
        <v>0</v>
      </c>
      <c r="F336" s="5">
        <v>0</v>
      </c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>
        <v>65178646</v>
      </c>
    </row>
    <row r="337" spans="1:50" x14ac:dyDescent="0.2">
      <c r="A337" s="5">
        <v>1</v>
      </c>
      <c r="B337" s="5" t="s">
        <v>363</v>
      </c>
      <c r="C337" s="5" t="s">
        <v>364</v>
      </c>
      <c r="D337" s="5">
        <v>2024</v>
      </c>
      <c r="E337" s="5">
        <v>12</v>
      </c>
      <c r="F337" s="5">
        <v>1</v>
      </c>
      <c r="G337" s="5">
        <v>1</v>
      </c>
      <c r="H337" s="5">
        <v>0</v>
      </c>
      <c r="I337" s="5">
        <v>2</v>
      </c>
      <c r="J337" s="5">
        <v>1</v>
      </c>
      <c r="K337" s="5">
        <v>1</v>
      </c>
      <c r="L337" s="5">
        <v>1</v>
      </c>
      <c r="M337" s="5">
        <v>1</v>
      </c>
      <c r="N337" s="5">
        <v>1</v>
      </c>
      <c r="O337" s="5">
        <v>1</v>
      </c>
      <c r="P337" s="5">
        <v>1</v>
      </c>
      <c r="Q337" s="5">
        <v>1</v>
      </c>
      <c r="R337" s="5" t="s">
        <v>3</v>
      </c>
      <c r="S337" s="5" t="s">
        <v>3</v>
      </c>
      <c r="T337" s="5" t="s">
        <v>3</v>
      </c>
      <c r="U337" s="5" t="s">
        <v>3</v>
      </c>
      <c r="V337" s="5" t="s">
        <v>3</v>
      </c>
      <c r="W337" s="5" t="s">
        <v>3</v>
      </c>
      <c r="X337" s="5" t="s">
        <v>3</v>
      </c>
      <c r="Y337" s="5" t="s">
        <v>3</v>
      </c>
      <c r="Z337" s="5" t="s">
        <v>3</v>
      </c>
      <c r="AA337" s="5" t="s">
        <v>3</v>
      </c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>
        <v>65178647</v>
      </c>
      <c r="AO337" s="5" t="s">
        <v>365</v>
      </c>
      <c r="AP337" s="5" t="s">
        <v>366</v>
      </c>
      <c r="AQ337" s="5">
        <v>45621</v>
      </c>
      <c r="AR337" s="5">
        <v>361</v>
      </c>
      <c r="AS337" s="5" t="s">
        <v>367</v>
      </c>
      <c r="AT337" s="5" t="s">
        <v>3</v>
      </c>
      <c r="AU337" s="5" t="s">
        <v>366</v>
      </c>
      <c r="AV337" s="5"/>
      <c r="AW337" s="5">
        <v>0</v>
      </c>
      <c r="AX337" s="5" t="s">
        <v>368</v>
      </c>
    </row>
    <row r="341" spans="1:50" x14ac:dyDescent="0.2">
      <c r="A341">
        <v>65</v>
      </c>
      <c r="C341">
        <v>1</v>
      </c>
      <c r="D341">
        <v>0</v>
      </c>
      <c r="E341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4F0C1-AAFF-4FC7-AC96-F103728FEB46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369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527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65178645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71</v>
      </c>
      <c r="E16" s="7">
        <f>ROUND((Source!F260)/1000,2)</f>
        <v>1268.47</v>
      </c>
      <c r="F16" s="7">
        <f>ROUND((Source!F261)/1000,2)</f>
        <v>719.3</v>
      </c>
      <c r="G16" s="7">
        <f>ROUND((Source!F252)/1000,2)</f>
        <v>0</v>
      </c>
      <c r="H16" s="7">
        <f>ROUND((Source!F262)/1000+(Source!F263)/1000,2)</f>
        <v>110.83</v>
      </c>
      <c r="I16" s="7">
        <f>E16+F16+G16+H16</f>
        <v>2098.6</v>
      </c>
      <c r="J16" s="7">
        <f>ROUND((Source!F258+Source!F257)/1000,2)</f>
        <v>422.02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1453670.6</v>
      </c>
      <c r="AU16" s="7">
        <v>819271.41</v>
      </c>
      <c r="AV16" s="7">
        <v>17632.439999999999</v>
      </c>
      <c r="AW16" s="7">
        <v>0</v>
      </c>
      <c r="AX16" s="7">
        <v>0</v>
      </c>
      <c r="AY16" s="7">
        <v>212378.66999999998</v>
      </c>
      <c r="AZ16" s="7">
        <v>91422.9</v>
      </c>
      <c r="BA16" s="7">
        <v>330597.62000000005</v>
      </c>
      <c r="BB16" s="7">
        <v>1268468.45</v>
      </c>
      <c r="BC16" s="7">
        <v>719304.36</v>
      </c>
      <c r="BD16" s="7">
        <v>110833.97</v>
      </c>
      <c r="BE16" s="7">
        <v>0</v>
      </c>
      <c r="BF16" s="7">
        <v>683.62940000000003</v>
      </c>
      <c r="BG16" s="7">
        <v>167.55665999999999</v>
      </c>
      <c r="BH16" s="7">
        <v>0</v>
      </c>
      <c r="BI16" s="7">
        <v>413381.56</v>
      </c>
      <c r="BJ16" s="7">
        <v>231554.62</v>
      </c>
      <c r="BK16" s="7">
        <v>2098606.7800000003</v>
      </c>
    </row>
    <row r="18" spans="1:19" x14ac:dyDescent="0.2">
      <c r="A18">
        <v>51</v>
      </c>
      <c r="E18" s="8">
        <f>SUMIF(A16:A17,3,E16:E17)</f>
        <v>1268.47</v>
      </c>
      <c r="F18" s="8">
        <f>SUMIF(A16:A17,3,F16:F17)</f>
        <v>719.3</v>
      </c>
      <c r="G18" s="8">
        <f>SUMIF(A16:A17,3,G16:G17)</f>
        <v>0</v>
      </c>
      <c r="H18" s="8">
        <f>SUMIF(A16:A17,3,H16:H17)</f>
        <v>110.83</v>
      </c>
      <c r="I18" s="8">
        <f>SUMIF(A16:A17,3,I16:I17)</f>
        <v>2098.6</v>
      </c>
      <c r="J18" s="8">
        <f>SUMIF(A16:A17,3,J16:J17)</f>
        <v>422.02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1453670.5999999999</v>
      </c>
      <c r="G20" s="4" t="s">
        <v>17</v>
      </c>
      <c r="H20" s="4" t="s">
        <v>18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819271.41</v>
      </c>
      <c r="G21" s="4" t="s">
        <v>19</v>
      </c>
      <c r="H21" s="4" t="s">
        <v>20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17632.439999999999</v>
      </c>
      <c r="G22" s="4" t="s">
        <v>21</v>
      </c>
      <c r="H22" s="4" t="s">
        <v>22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819271.41</v>
      </c>
      <c r="G23" s="4" t="s">
        <v>23</v>
      </c>
      <c r="H23" s="4" t="s">
        <v>24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819271.41</v>
      </c>
      <c r="G24" s="4" t="s">
        <v>25</v>
      </c>
      <c r="H24" s="4" t="s">
        <v>26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27</v>
      </c>
      <c r="H25" s="4" t="s">
        <v>28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819271.41</v>
      </c>
      <c r="G26" s="4" t="s">
        <v>29</v>
      </c>
      <c r="H26" s="4" t="s">
        <v>30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31</v>
      </c>
      <c r="H27" s="4" t="s">
        <v>32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33</v>
      </c>
      <c r="H28" s="4" t="s">
        <v>34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35</v>
      </c>
      <c r="H29" s="4" t="s">
        <v>36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212378.66999999998</v>
      </c>
      <c r="G30" s="4" t="s">
        <v>37</v>
      </c>
      <c r="H30" s="4" t="s">
        <v>38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39</v>
      </c>
      <c r="H31" s="4" t="s">
        <v>40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91422.900000000009</v>
      </c>
      <c r="G32" s="4" t="s">
        <v>41</v>
      </c>
      <c r="H32" s="4" t="s">
        <v>42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330597.62</v>
      </c>
      <c r="G33" s="4" t="s">
        <v>43</v>
      </c>
      <c r="H33" s="4" t="s">
        <v>44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45</v>
      </c>
      <c r="H34" s="4" t="s">
        <v>46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1268468.45</v>
      </c>
      <c r="G35" s="4" t="s">
        <v>47</v>
      </c>
      <c r="H35" s="4" t="s">
        <v>48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719304.36</v>
      </c>
      <c r="G36" s="4" t="s">
        <v>49</v>
      </c>
      <c r="H36" s="4" t="s">
        <v>50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110833.97</v>
      </c>
      <c r="G37" s="4" t="s">
        <v>51</v>
      </c>
      <c r="H37" s="4" t="s">
        <v>52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53</v>
      </c>
      <c r="H38" s="4" t="s">
        <v>54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55</v>
      </c>
      <c r="H39" s="4" t="s">
        <v>56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683.62940000000003</v>
      </c>
      <c r="G40" s="4" t="s">
        <v>57</v>
      </c>
      <c r="H40" s="4" t="s">
        <v>58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167.55665999999999</v>
      </c>
      <c r="G41" s="4" t="s">
        <v>59</v>
      </c>
      <c r="H41" s="4" t="s">
        <v>60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61</v>
      </c>
      <c r="H42" s="4" t="s">
        <v>62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63</v>
      </c>
      <c r="H43" s="4" t="s">
        <v>64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413381.56</v>
      </c>
      <c r="G44" s="4" t="s">
        <v>65</v>
      </c>
      <c r="H44" s="4" t="s">
        <v>66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231554.62</v>
      </c>
      <c r="G45" s="4" t="s">
        <v>67</v>
      </c>
      <c r="H45" s="4" t="s">
        <v>68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2098606.7799999998</v>
      </c>
      <c r="G46" s="4" t="s">
        <v>69</v>
      </c>
      <c r="H46" s="4" t="s">
        <v>70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360</v>
      </c>
      <c r="C51" s="3">
        <v>2024</v>
      </c>
      <c r="D51" s="3">
        <v>0</v>
      </c>
      <c r="E51" s="3">
        <v>12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65178645</v>
      </c>
      <c r="O51" s="3">
        <v>1</v>
      </c>
    </row>
    <row r="52" spans="1:50" x14ac:dyDescent="0.2">
      <c r="A52" s="5">
        <v>2</v>
      </c>
      <c r="B52" s="5" t="s">
        <v>361</v>
      </c>
      <c r="C52" s="5" t="s">
        <v>362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65178646</v>
      </c>
    </row>
    <row r="53" spans="1:50" x14ac:dyDescent="0.2">
      <c r="A53" s="5">
        <v>1</v>
      </c>
      <c r="B53" s="5" t="s">
        <v>363</v>
      </c>
      <c r="C53" s="5" t="s">
        <v>364</v>
      </c>
      <c r="D53" s="5">
        <v>2024</v>
      </c>
      <c r="E53" s="5">
        <v>12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65178647</v>
      </c>
      <c r="AO53" s="5" t="s">
        <v>365</v>
      </c>
      <c r="AP53" s="5" t="s">
        <v>366</v>
      </c>
      <c r="AQ53" s="5">
        <v>45621</v>
      </c>
      <c r="AR53" s="5">
        <v>361</v>
      </c>
      <c r="AS53" s="5" t="s">
        <v>367</v>
      </c>
      <c r="AT53" s="5" t="s">
        <v>3</v>
      </c>
      <c r="AU53" s="5" t="s">
        <v>366</v>
      </c>
      <c r="AV53" s="5"/>
      <c r="AW53" s="5">
        <v>0</v>
      </c>
      <c r="AX53" s="5" t="s">
        <v>368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71BC8-8FAC-42F3-B90E-4ACFE4E3CC3F}">
  <dimension ref="A1:DO30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ROW(Source!A62)</f>
        <v>62</v>
      </c>
      <c r="B1">
        <v>65178645</v>
      </c>
      <c r="C1">
        <v>65179519</v>
      </c>
      <c r="D1">
        <v>37064928</v>
      </c>
      <c r="E1">
        <v>108</v>
      </c>
      <c r="F1">
        <v>1</v>
      </c>
      <c r="G1">
        <v>1</v>
      </c>
      <c r="H1">
        <v>1</v>
      </c>
      <c r="I1" t="s">
        <v>370</v>
      </c>
      <c r="J1" t="s">
        <v>3</v>
      </c>
      <c r="K1" t="s">
        <v>371</v>
      </c>
      <c r="L1">
        <v>1191</v>
      </c>
      <c r="N1">
        <v>1013</v>
      </c>
      <c r="O1" t="s">
        <v>372</v>
      </c>
      <c r="P1" t="s">
        <v>372</v>
      </c>
      <c r="Q1">
        <v>1</v>
      </c>
      <c r="W1">
        <v>0</v>
      </c>
      <c r="X1">
        <v>1893946532</v>
      </c>
      <c r="Y1">
        <f t="shared" ref="Y1:Y17" si="0">AT1</f>
        <v>0.81</v>
      </c>
      <c r="AA1">
        <v>0</v>
      </c>
      <c r="AB1">
        <v>0</v>
      </c>
      <c r="AC1">
        <v>0</v>
      </c>
      <c r="AD1">
        <v>463.09</v>
      </c>
      <c r="AE1">
        <v>0</v>
      </c>
      <c r="AF1">
        <v>0</v>
      </c>
      <c r="AG1">
        <v>0</v>
      </c>
      <c r="AH1">
        <v>463.09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0.81</v>
      </c>
      <c r="AU1" t="s">
        <v>3</v>
      </c>
      <c r="AV1">
        <v>1</v>
      </c>
      <c r="AW1">
        <v>2</v>
      </c>
      <c r="AX1">
        <v>65179524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375.10289999999998</v>
      </c>
      <c r="BN1">
        <v>0.81</v>
      </c>
      <c r="BO1">
        <v>0</v>
      </c>
      <c r="BP1">
        <v>1</v>
      </c>
      <c r="BQ1">
        <v>0</v>
      </c>
      <c r="BR1">
        <v>0</v>
      </c>
      <c r="BS1">
        <v>0</v>
      </c>
      <c r="BT1">
        <v>375.10289999999998</v>
      </c>
      <c r="BU1">
        <v>0.81</v>
      </c>
      <c r="BV1">
        <v>0</v>
      </c>
      <c r="BW1">
        <v>1</v>
      </c>
      <c r="CU1">
        <f>ROUND(AT1*Source!I62*AH1*AL1,2)</f>
        <v>12003.29</v>
      </c>
      <c r="CV1">
        <f>ROUND(Y1*Source!I62,7)</f>
        <v>25.92</v>
      </c>
      <c r="CW1">
        <v>0</v>
      </c>
      <c r="CX1">
        <f>ROUND(Y1*Source!I62,7)</f>
        <v>25.92</v>
      </c>
      <c r="CY1">
        <f>AD1</f>
        <v>463.09</v>
      </c>
      <c r="CZ1">
        <f>AH1</f>
        <v>463.09</v>
      </c>
      <c r="DA1">
        <f>AL1</f>
        <v>1</v>
      </c>
      <c r="DB1">
        <f t="shared" ref="DB1:DB17" si="1">ROUND(ROUND(AT1*CZ1,2),6)</f>
        <v>375.1</v>
      </c>
      <c r="DC1">
        <f t="shared" ref="DC1:DC17" si="2">ROUND(ROUND(AT1*AG1,2),6)</f>
        <v>0</v>
      </c>
      <c r="DD1" t="s">
        <v>3</v>
      </c>
      <c r="DE1" t="s">
        <v>3</v>
      </c>
      <c r="DF1">
        <f t="shared" ref="DF1:DF32" si="3">ROUND(ROUND(AE1,2)*CX1,2)</f>
        <v>0</v>
      </c>
      <c r="DG1">
        <f>ROUND(ROUND(AF1,2)*CX1,2)</f>
        <v>0</v>
      </c>
      <c r="DH1">
        <f t="shared" ref="DH1:DH32" si="4">ROUND(ROUND(AG1,2)*CX1,2)</f>
        <v>0</v>
      </c>
      <c r="DI1">
        <f t="shared" ref="DI1:DI32" si="5">ROUND(ROUND(AH1,2)*CX1,2)</f>
        <v>12003.29</v>
      </c>
      <c r="DJ1">
        <f>DI1</f>
        <v>12003.29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ROW(Source!A62)</f>
        <v>62</v>
      </c>
      <c r="B2">
        <v>65178645</v>
      </c>
      <c r="C2">
        <v>65179519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373</v>
      </c>
      <c r="J2" t="s">
        <v>3</v>
      </c>
      <c r="K2" t="s">
        <v>374</v>
      </c>
      <c r="L2">
        <v>1191</v>
      </c>
      <c r="N2">
        <v>1013</v>
      </c>
      <c r="O2" t="s">
        <v>372</v>
      </c>
      <c r="P2" t="s">
        <v>372</v>
      </c>
      <c r="Q2">
        <v>1</v>
      </c>
      <c r="W2">
        <v>0</v>
      </c>
      <c r="X2">
        <v>-1417349443</v>
      </c>
      <c r="Y2">
        <f t="shared" si="0"/>
        <v>0.48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0.48</v>
      </c>
      <c r="AU2" t="s">
        <v>3</v>
      </c>
      <c r="AV2">
        <v>2</v>
      </c>
      <c r="AW2">
        <v>2</v>
      </c>
      <c r="AX2">
        <v>65179525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ROUND(Y2*Source!I62,7)</f>
        <v>15.36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 t="shared" si="3"/>
        <v>0</v>
      </c>
      <c r="DG2">
        <f>ROUND(ROUND(AF2,2)*CX2,2)</f>
        <v>0</v>
      </c>
      <c r="DH2">
        <f t="shared" si="4"/>
        <v>0</v>
      </c>
      <c r="DI2">
        <f t="shared" si="5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ROW(Source!A62)</f>
        <v>62</v>
      </c>
      <c r="B3">
        <v>65178645</v>
      </c>
      <c r="C3">
        <v>65179519</v>
      </c>
      <c r="D3">
        <v>56571218</v>
      </c>
      <c r="E3">
        <v>1</v>
      </c>
      <c r="F3">
        <v>1</v>
      </c>
      <c r="G3">
        <v>1</v>
      </c>
      <c r="H3">
        <v>2</v>
      </c>
      <c r="I3" t="s">
        <v>375</v>
      </c>
      <c r="J3" t="s">
        <v>376</v>
      </c>
      <c r="K3" t="s">
        <v>377</v>
      </c>
      <c r="L3">
        <v>1368</v>
      </c>
      <c r="N3">
        <v>1011</v>
      </c>
      <c r="O3" t="s">
        <v>378</v>
      </c>
      <c r="P3" t="s">
        <v>378</v>
      </c>
      <c r="Q3">
        <v>1</v>
      </c>
      <c r="W3">
        <v>0</v>
      </c>
      <c r="X3">
        <v>766822283</v>
      </c>
      <c r="Y3">
        <f t="shared" si="0"/>
        <v>0.44</v>
      </c>
      <c r="AA3">
        <v>0</v>
      </c>
      <c r="AB3">
        <v>1964.16</v>
      </c>
      <c r="AC3">
        <v>563.76</v>
      </c>
      <c r="AD3">
        <v>0</v>
      </c>
      <c r="AE3">
        <v>0</v>
      </c>
      <c r="AF3">
        <v>1609.97</v>
      </c>
      <c r="AG3">
        <v>563.76</v>
      </c>
      <c r="AH3">
        <v>0</v>
      </c>
      <c r="AI3">
        <v>1</v>
      </c>
      <c r="AJ3">
        <v>1.22</v>
      </c>
      <c r="AK3">
        <v>1</v>
      </c>
      <c r="AL3">
        <v>1</v>
      </c>
      <c r="AM3">
        <v>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0.44</v>
      </c>
      <c r="AU3" t="s">
        <v>3</v>
      </c>
      <c r="AV3">
        <v>1</v>
      </c>
      <c r="AW3">
        <v>2</v>
      </c>
      <c r="AX3">
        <v>65179526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708.38679999999999</v>
      </c>
      <c r="BL3">
        <v>248.05439999999999</v>
      </c>
      <c r="BM3">
        <v>0</v>
      </c>
      <c r="BN3">
        <v>0</v>
      </c>
      <c r="BO3">
        <v>0.44</v>
      </c>
      <c r="BP3">
        <v>1</v>
      </c>
      <c r="BQ3">
        <v>0</v>
      </c>
      <c r="BR3">
        <v>708.38679999999999</v>
      </c>
      <c r="BS3">
        <v>248.05439999999999</v>
      </c>
      <c r="BT3">
        <v>0</v>
      </c>
      <c r="BU3">
        <v>0</v>
      </c>
      <c r="BV3">
        <v>0.44</v>
      </c>
      <c r="BW3">
        <v>1</v>
      </c>
      <c r="CV3">
        <v>0</v>
      </c>
      <c r="CW3">
        <f>ROUND(Y3*Source!I62*DO3,7)</f>
        <v>14.08</v>
      </c>
      <c r="CX3">
        <f>ROUND(Y3*Source!I62,7)</f>
        <v>14.08</v>
      </c>
      <c r="CY3">
        <f>AB3</f>
        <v>1964.16</v>
      </c>
      <c r="CZ3">
        <f>AF3</f>
        <v>1609.97</v>
      </c>
      <c r="DA3">
        <f>AJ3</f>
        <v>1.22</v>
      </c>
      <c r="DB3">
        <f t="shared" si="1"/>
        <v>708.39</v>
      </c>
      <c r="DC3">
        <f t="shared" si="2"/>
        <v>248.05</v>
      </c>
      <c r="DD3" t="s">
        <v>3</v>
      </c>
      <c r="DE3" t="s">
        <v>3</v>
      </c>
      <c r="DF3">
        <f t="shared" si="3"/>
        <v>0</v>
      </c>
      <c r="DG3">
        <f>ROUND(ROUND(AF3*AJ3,2)*CX3,2)</f>
        <v>27655.37</v>
      </c>
      <c r="DH3">
        <f t="shared" si="4"/>
        <v>7937.74</v>
      </c>
      <c r="DI3">
        <f t="shared" si="5"/>
        <v>0</v>
      </c>
      <c r="DJ3">
        <f>DG3+DH3</f>
        <v>35593.11</v>
      </c>
      <c r="DK3">
        <v>0</v>
      </c>
      <c r="DL3" t="s">
        <v>379</v>
      </c>
      <c r="DM3">
        <v>5</v>
      </c>
      <c r="DN3" t="s">
        <v>372</v>
      </c>
      <c r="DO3">
        <v>1</v>
      </c>
    </row>
    <row r="4" spans="1:119" x14ac:dyDescent="0.2">
      <c r="A4">
        <f>ROW(Source!A62)</f>
        <v>62</v>
      </c>
      <c r="B4">
        <v>65178645</v>
      </c>
      <c r="C4">
        <v>65179519</v>
      </c>
      <c r="D4">
        <v>56572833</v>
      </c>
      <c r="E4">
        <v>1</v>
      </c>
      <c r="F4">
        <v>1</v>
      </c>
      <c r="G4">
        <v>1</v>
      </c>
      <c r="H4">
        <v>2</v>
      </c>
      <c r="I4" t="s">
        <v>380</v>
      </c>
      <c r="J4" t="s">
        <v>381</v>
      </c>
      <c r="K4" t="s">
        <v>382</v>
      </c>
      <c r="L4">
        <v>1368</v>
      </c>
      <c r="N4">
        <v>1011</v>
      </c>
      <c r="O4" t="s">
        <v>378</v>
      </c>
      <c r="P4" t="s">
        <v>378</v>
      </c>
      <c r="Q4">
        <v>1</v>
      </c>
      <c r="W4">
        <v>0</v>
      </c>
      <c r="X4">
        <v>1230426758</v>
      </c>
      <c r="Y4">
        <f t="shared" si="0"/>
        <v>0.04</v>
      </c>
      <c r="AA4">
        <v>0</v>
      </c>
      <c r="AB4">
        <v>578.28</v>
      </c>
      <c r="AC4">
        <v>490.55</v>
      </c>
      <c r="AD4">
        <v>0</v>
      </c>
      <c r="AE4">
        <v>0</v>
      </c>
      <c r="AF4">
        <v>477.92</v>
      </c>
      <c r="AG4">
        <v>490.55</v>
      </c>
      <c r="AH4">
        <v>0</v>
      </c>
      <c r="AI4">
        <v>1</v>
      </c>
      <c r="AJ4">
        <v>1.21</v>
      </c>
      <c r="AK4">
        <v>1</v>
      </c>
      <c r="AL4">
        <v>1</v>
      </c>
      <c r="AM4">
        <v>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3</v>
      </c>
      <c r="AT4">
        <v>0.04</v>
      </c>
      <c r="AU4" t="s">
        <v>3</v>
      </c>
      <c r="AV4">
        <v>1</v>
      </c>
      <c r="AW4">
        <v>2</v>
      </c>
      <c r="AX4">
        <v>65179527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19.116800000000001</v>
      </c>
      <c r="BL4">
        <v>19.622</v>
      </c>
      <c r="BM4">
        <v>0</v>
      </c>
      <c r="BN4">
        <v>0</v>
      </c>
      <c r="BO4">
        <v>0.04</v>
      </c>
      <c r="BP4">
        <v>1</v>
      </c>
      <c r="BQ4">
        <v>0</v>
      </c>
      <c r="BR4">
        <v>19.116800000000001</v>
      </c>
      <c r="BS4">
        <v>19.622</v>
      </c>
      <c r="BT4">
        <v>0</v>
      </c>
      <c r="BU4">
        <v>0</v>
      </c>
      <c r="BV4">
        <v>0.04</v>
      </c>
      <c r="BW4">
        <v>1</v>
      </c>
      <c r="CV4">
        <v>0</v>
      </c>
      <c r="CW4">
        <f>ROUND(Y4*Source!I62*DO4,7)</f>
        <v>1.28</v>
      </c>
      <c r="CX4">
        <f>ROUND(Y4*Source!I62,7)</f>
        <v>1.28</v>
      </c>
      <c r="CY4">
        <f>AB4</f>
        <v>578.28</v>
      </c>
      <c r="CZ4">
        <f>AF4</f>
        <v>477.92</v>
      </c>
      <c r="DA4">
        <f>AJ4</f>
        <v>1.21</v>
      </c>
      <c r="DB4">
        <f t="shared" si="1"/>
        <v>19.12</v>
      </c>
      <c r="DC4">
        <f t="shared" si="2"/>
        <v>19.62</v>
      </c>
      <c r="DD4" t="s">
        <v>3</v>
      </c>
      <c r="DE4" t="s">
        <v>3</v>
      </c>
      <c r="DF4">
        <f t="shared" si="3"/>
        <v>0</v>
      </c>
      <c r="DG4">
        <f>ROUND(ROUND(AF4*AJ4,2)*CX4,2)</f>
        <v>740.2</v>
      </c>
      <c r="DH4">
        <f t="shared" si="4"/>
        <v>627.9</v>
      </c>
      <c r="DI4">
        <f t="shared" si="5"/>
        <v>0</v>
      </c>
      <c r="DJ4">
        <f>DG4+DH4</f>
        <v>1368.1</v>
      </c>
      <c r="DK4">
        <v>0</v>
      </c>
      <c r="DL4" t="s">
        <v>383</v>
      </c>
      <c r="DM4">
        <v>4</v>
      </c>
      <c r="DN4" t="s">
        <v>372</v>
      </c>
      <c r="DO4">
        <v>1</v>
      </c>
    </row>
    <row r="5" spans="1:119" x14ac:dyDescent="0.2">
      <c r="A5">
        <f>ROW(Source!A63)</f>
        <v>63</v>
      </c>
      <c r="B5">
        <v>65178645</v>
      </c>
      <c r="C5">
        <v>65179528</v>
      </c>
      <c r="D5">
        <v>37066717</v>
      </c>
      <c r="E5">
        <v>108</v>
      </c>
      <c r="F5">
        <v>1</v>
      </c>
      <c r="G5">
        <v>1</v>
      </c>
      <c r="H5">
        <v>1</v>
      </c>
      <c r="I5" t="s">
        <v>384</v>
      </c>
      <c r="J5" t="s">
        <v>3</v>
      </c>
      <c r="K5" t="s">
        <v>385</v>
      </c>
      <c r="L5">
        <v>1191</v>
      </c>
      <c r="N5">
        <v>1013</v>
      </c>
      <c r="O5" t="s">
        <v>372</v>
      </c>
      <c r="P5" t="s">
        <v>372</v>
      </c>
      <c r="Q5">
        <v>1</v>
      </c>
      <c r="W5">
        <v>0</v>
      </c>
      <c r="X5">
        <v>388411409</v>
      </c>
      <c r="Y5">
        <f t="shared" si="0"/>
        <v>0.44</v>
      </c>
      <c r="AA5">
        <v>0</v>
      </c>
      <c r="AB5">
        <v>0</v>
      </c>
      <c r="AC5">
        <v>0</v>
      </c>
      <c r="AD5">
        <v>417.33</v>
      </c>
      <c r="AE5">
        <v>0</v>
      </c>
      <c r="AF5">
        <v>0</v>
      </c>
      <c r="AG5">
        <v>0</v>
      </c>
      <c r="AH5">
        <v>417.33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0</v>
      </c>
      <c r="AP5">
        <v>0</v>
      </c>
      <c r="AQ5">
        <v>1</v>
      </c>
      <c r="AR5">
        <v>0</v>
      </c>
      <c r="AS5" t="s">
        <v>3</v>
      </c>
      <c r="AT5">
        <v>0.44</v>
      </c>
      <c r="AU5" t="s">
        <v>3</v>
      </c>
      <c r="AV5">
        <v>1</v>
      </c>
      <c r="AW5">
        <v>2</v>
      </c>
      <c r="AX5">
        <v>65179534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183.62520000000001</v>
      </c>
      <c r="BN5">
        <v>0.44</v>
      </c>
      <c r="BO5">
        <v>0</v>
      </c>
      <c r="BP5">
        <v>1</v>
      </c>
      <c r="BQ5">
        <v>0</v>
      </c>
      <c r="BR5">
        <v>0</v>
      </c>
      <c r="BS5">
        <v>0</v>
      </c>
      <c r="BT5">
        <v>183.62520000000001</v>
      </c>
      <c r="BU5">
        <v>0.44</v>
      </c>
      <c r="BV5">
        <v>0</v>
      </c>
      <c r="BW5">
        <v>1</v>
      </c>
      <c r="CU5">
        <f>ROUND(AT5*Source!I63*AH5*AL5,2)</f>
        <v>5876.01</v>
      </c>
      <c r="CV5">
        <f>ROUND(Y5*Source!I63,7)</f>
        <v>14.08</v>
      </c>
      <c r="CW5">
        <v>0</v>
      </c>
      <c r="CX5">
        <f>ROUND(Y5*Source!I63,7)</f>
        <v>14.08</v>
      </c>
      <c r="CY5">
        <f>AD5</f>
        <v>417.33</v>
      </c>
      <c r="CZ5">
        <f>AH5</f>
        <v>417.33</v>
      </c>
      <c r="DA5">
        <f>AL5</f>
        <v>1</v>
      </c>
      <c r="DB5">
        <f t="shared" si="1"/>
        <v>183.63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>ROUND(ROUND(AF5,2)*CX5,2)</f>
        <v>0</v>
      </c>
      <c r="DH5">
        <f t="shared" si="4"/>
        <v>0</v>
      </c>
      <c r="DI5">
        <f t="shared" si="5"/>
        <v>5876.01</v>
      </c>
      <c r="DJ5">
        <f>DI5</f>
        <v>5876.01</v>
      </c>
      <c r="DK5">
        <v>1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ROW(Source!A63)</f>
        <v>63</v>
      </c>
      <c r="B6">
        <v>65178645</v>
      </c>
      <c r="C6">
        <v>65179528</v>
      </c>
      <c r="D6">
        <v>37064876</v>
      </c>
      <c r="E6">
        <v>108</v>
      </c>
      <c r="F6">
        <v>1</v>
      </c>
      <c r="G6">
        <v>1</v>
      </c>
      <c r="H6">
        <v>1</v>
      </c>
      <c r="I6" t="s">
        <v>373</v>
      </c>
      <c r="J6" t="s">
        <v>3</v>
      </c>
      <c r="K6" t="s">
        <v>374</v>
      </c>
      <c r="L6">
        <v>1191</v>
      </c>
      <c r="N6">
        <v>1013</v>
      </c>
      <c r="O6" t="s">
        <v>372</v>
      </c>
      <c r="P6" t="s">
        <v>372</v>
      </c>
      <c r="Q6">
        <v>1</v>
      </c>
      <c r="W6">
        <v>0</v>
      </c>
      <c r="X6">
        <v>-1417349443</v>
      </c>
      <c r="Y6">
        <f t="shared" si="0"/>
        <v>0.48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0</v>
      </c>
      <c r="AP6">
        <v>0</v>
      </c>
      <c r="AQ6">
        <v>1</v>
      </c>
      <c r="AR6">
        <v>0</v>
      </c>
      <c r="AS6" t="s">
        <v>3</v>
      </c>
      <c r="AT6">
        <v>0.48</v>
      </c>
      <c r="AU6" t="s">
        <v>3</v>
      </c>
      <c r="AV6">
        <v>2</v>
      </c>
      <c r="AW6">
        <v>2</v>
      </c>
      <c r="AX6">
        <v>65179535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ROUND(Y6*Source!I63,7)</f>
        <v>15.36</v>
      </c>
      <c r="CY6">
        <f>AD6</f>
        <v>0</v>
      </c>
      <c r="CZ6">
        <f>AH6</f>
        <v>0</v>
      </c>
      <c r="DA6">
        <f>AL6</f>
        <v>1</v>
      </c>
      <c r="DB6">
        <f t="shared" si="1"/>
        <v>0</v>
      </c>
      <c r="DC6">
        <f t="shared" si="2"/>
        <v>0</v>
      </c>
      <c r="DD6" t="s">
        <v>3</v>
      </c>
      <c r="DE6" t="s">
        <v>3</v>
      </c>
      <c r="DF6">
        <f t="shared" si="3"/>
        <v>0</v>
      </c>
      <c r="DG6">
        <f>ROUND(ROUND(AF6,2)*CX6,2)</f>
        <v>0</v>
      </c>
      <c r="DH6">
        <f t="shared" si="4"/>
        <v>0</v>
      </c>
      <c r="DI6">
        <f t="shared" si="5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ROW(Source!A63)</f>
        <v>63</v>
      </c>
      <c r="B7">
        <v>65178645</v>
      </c>
      <c r="C7">
        <v>65179528</v>
      </c>
      <c r="D7">
        <v>56571417</v>
      </c>
      <c r="E7">
        <v>1</v>
      </c>
      <c r="F7">
        <v>1</v>
      </c>
      <c r="G7">
        <v>1</v>
      </c>
      <c r="H7">
        <v>2</v>
      </c>
      <c r="I7" t="s">
        <v>386</v>
      </c>
      <c r="J7" t="s">
        <v>387</v>
      </c>
      <c r="K7" t="s">
        <v>388</v>
      </c>
      <c r="L7">
        <v>1368</v>
      </c>
      <c r="N7">
        <v>1011</v>
      </c>
      <c r="O7" t="s">
        <v>378</v>
      </c>
      <c r="P7" t="s">
        <v>378</v>
      </c>
      <c r="Q7">
        <v>1</v>
      </c>
      <c r="W7">
        <v>0</v>
      </c>
      <c r="X7">
        <v>-848025172</v>
      </c>
      <c r="Y7">
        <f t="shared" si="0"/>
        <v>0.24</v>
      </c>
      <c r="AA7">
        <v>0</v>
      </c>
      <c r="AB7">
        <v>1551.19</v>
      </c>
      <c r="AC7">
        <v>658.94</v>
      </c>
      <c r="AD7">
        <v>0</v>
      </c>
      <c r="AE7">
        <v>0</v>
      </c>
      <c r="AF7">
        <v>1551.19</v>
      </c>
      <c r="AG7">
        <v>658.94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0</v>
      </c>
      <c r="AP7">
        <v>0</v>
      </c>
      <c r="AQ7">
        <v>1</v>
      </c>
      <c r="AR7">
        <v>0</v>
      </c>
      <c r="AS7" t="s">
        <v>3</v>
      </c>
      <c r="AT7">
        <v>0.24</v>
      </c>
      <c r="AU7" t="s">
        <v>3</v>
      </c>
      <c r="AV7">
        <v>1</v>
      </c>
      <c r="AW7">
        <v>2</v>
      </c>
      <c r="AX7">
        <v>65179536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372.28559999999999</v>
      </c>
      <c r="BL7">
        <v>158.1456</v>
      </c>
      <c r="BM7">
        <v>0</v>
      </c>
      <c r="BN7">
        <v>0</v>
      </c>
      <c r="BO7">
        <v>0.24</v>
      </c>
      <c r="BP7">
        <v>1</v>
      </c>
      <c r="BQ7">
        <v>0</v>
      </c>
      <c r="BR7">
        <v>372.28559999999999</v>
      </c>
      <c r="BS7">
        <v>158.1456</v>
      </c>
      <c r="BT7">
        <v>0</v>
      </c>
      <c r="BU7">
        <v>0</v>
      </c>
      <c r="BV7">
        <v>0.24</v>
      </c>
      <c r="BW7">
        <v>1</v>
      </c>
      <c r="CV7">
        <v>0</v>
      </c>
      <c r="CW7">
        <f>ROUND(Y7*Source!I63*DO7,7)</f>
        <v>7.68</v>
      </c>
      <c r="CX7">
        <f>ROUND(Y7*Source!I63,7)</f>
        <v>7.68</v>
      </c>
      <c r="CY7">
        <f>AB7</f>
        <v>1551.19</v>
      </c>
      <c r="CZ7">
        <f>AF7</f>
        <v>1551.19</v>
      </c>
      <c r="DA7">
        <f>AJ7</f>
        <v>1</v>
      </c>
      <c r="DB7">
        <f t="shared" si="1"/>
        <v>372.29</v>
      </c>
      <c r="DC7">
        <f t="shared" si="2"/>
        <v>158.15</v>
      </c>
      <c r="DD7" t="s">
        <v>3</v>
      </c>
      <c r="DE7" t="s">
        <v>3</v>
      </c>
      <c r="DF7">
        <f t="shared" si="3"/>
        <v>0</v>
      </c>
      <c r="DG7">
        <f>ROUND(ROUND(AF7,2)*CX7,2)</f>
        <v>11913.14</v>
      </c>
      <c r="DH7">
        <f t="shared" si="4"/>
        <v>5060.66</v>
      </c>
      <c r="DI7">
        <f t="shared" si="5"/>
        <v>0</v>
      </c>
      <c r="DJ7">
        <f>DG7+DH7</f>
        <v>16973.8</v>
      </c>
      <c r="DK7">
        <v>1</v>
      </c>
      <c r="DL7" t="s">
        <v>389</v>
      </c>
      <c r="DM7">
        <v>6</v>
      </c>
      <c r="DN7" t="s">
        <v>372</v>
      </c>
      <c r="DO7">
        <v>1</v>
      </c>
    </row>
    <row r="8" spans="1:119" x14ac:dyDescent="0.2">
      <c r="A8">
        <f>ROW(Source!A63)</f>
        <v>63</v>
      </c>
      <c r="B8">
        <v>65178645</v>
      </c>
      <c r="C8">
        <v>65179528</v>
      </c>
      <c r="D8">
        <v>56572938</v>
      </c>
      <c r="E8">
        <v>1</v>
      </c>
      <c r="F8">
        <v>1</v>
      </c>
      <c r="G8">
        <v>1</v>
      </c>
      <c r="H8">
        <v>2</v>
      </c>
      <c r="I8" t="s">
        <v>390</v>
      </c>
      <c r="J8" t="s">
        <v>391</v>
      </c>
      <c r="K8" t="s">
        <v>392</v>
      </c>
      <c r="L8">
        <v>1368</v>
      </c>
      <c r="N8">
        <v>1011</v>
      </c>
      <c r="O8" t="s">
        <v>378</v>
      </c>
      <c r="P8" t="s">
        <v>378</v>
      </c>
      <c r="Q8">
        <v>1</v>
      </c>
      <c r="W8">
        <v>0</v>
      </c>
      <c r="X8">
        <v>-1757865898</v>
      </c>
      <c r="Y8">
        <f t="shared" si="0"/>
        <v>0.24</v>
      </c>
      <c r="AA8">
        <v>0</v>
      </c>
      <c r="AB8">
        <v>16.66</v>
      </c>
      <c r="AC8">
        <v>0</v>
      </c>
      <c r="AD8">
        <v>0</v>
      </c>
      <c r="AE8">
        <v>0</v>
      </c>
      <c r="AF8">
        <v>16.66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0</v>
      </c>
      <c r="AQ8">
        <v>1</v>
      </c>
      <c r="AR8">
        <v>0</v>
      </c>
      <c r="AS8" t="s">
        <v>3</v>
      </c>
      <c r="AT8">
        <v>0.24</v>
      </c>
      <c r="AU8" t="s">
        <v>3</v>
      </c>
      <c r="AV8">
        <v>1</v>
      </c>
      <c r="AW8">
        <v>2</v>
      </c>
      <c r="AX8">
        <v>65179537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3.9983999999999997</v>
      </c>
      <c r="BL8">
        <v>0</v>
      </c>
      <c r="BM8">
        <v>0</v>
      </c>
      <c r="BN8">
        <v>0</v>
      </c>
      <c r="BO8">
        <v>0</v>
      </c>
      <c r="BP8">
        <v>1</v>
      </c>
      <c r="BQ8">
        <v>0</v>
      </c>
      <c r="BR8">
        <v>3.9983999999999997</v>
      </c>
      <c r="BS8">
        <v>0</v>
      </c>
      <c r="BT8">
        <v>0</v>
      </c>
      <c r="BU8">
        <v>0</v>
      </c>
      <c r="BV8">
        <v>0</v>
      </c>
      <c r="BW8">
        <v>1</v>
      </c>
      <c r="CV8">
        <v>0</v>
      </c>
      <c r="CW8">
        <f>ROUND(Y8*Source!I63*DO8,7)</f>
        <v>0</v>
      </c>
      <c r="CX8">
        <f>ROUND(Y8*Source!I63,7)</f>
        <v>7.68</v>
      </c>
      <c r="CY8">
        <f>AB8</f>
        <v>16.66</v>
      </c>
      <c r="CZ8">
        <f>AF8</f>
        <v>16.66</v>
      </c>
      <c r="DA8">
        <f>AJ8</f>
        <v>1</v>
      </c>
      <c r="DB8">
        <f t="shared" si="1"/>
        <v>4</v>
      </c>
      <c r="DC8">
        <f t="shared" si="2"/>
        <v>0</v>
      </c>
      <c r="DD8" t="s">
        <v>3</v>
      </c>
      <c r="DE8" t="s">
        <v>3</v>
      </c>
      <c r="DF8">
        <f t="shared" si="3"/>
        <v>0</v>
      </c>
      <c r="DG8">
        <f>ROUND(ROUND(AF8,2)*CX8,2)</f>
        <v>127.95</v>
      </c>
      <c r="DH8">
        <f t="shared" si="4"/>
        <v>0</v>
      </c>
      <c r="DI8">
        <f t="shared" si="5"/>
        <v>0</v>
      </c>
      <c r="DJ8">
        <f>DG8+DH8</f>
        <v>127.95</v>
      </c>
      <c r="DK8">
        <v>1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ROW(Source!A63)</f>
        <v>63</v>
      </c>
      <c r="B9">
        <v>65178645</v>
      </c>
      <c r="C9">
        <v>65179528</v>
      </c>
      <c r="D9">
        <v>56572969</v>
      </c>
      <c r="E9">
        <v>1</v>
      </c>
      <c r="F9">
        <v>1</v>
      </c>
      <c r="G9">
        <v>1</v>
      </c>
      <c r="H9">
        <v>2</v>
      </c>
      <c r="I9" t="s">
        <v>393</v>
      </c>
      <c r="J9" t="s">
        <v>394</v>
      </c>
      <c r="K9" t="s">
        <v>395</v>
      </c>
      <c r="L9">
        <v>1368</v>
      </c>
      <c r="N9">
        <v>1011</v>
      </c>
      <c r="O9" t="s">
        <v>378</v>
      </c>
      <c r="P9" t="s">
        <v>378</v>
      </c>
      <c r="Q9">
        <v>1</v>
      </c>
      <c r="W9">
        <v>0</v>
      </c>
      <c r="X9">
        <v>-1976387145</v>
      </c>
      <c r="Y9">
        <f t="shared" si="0"/>
        <v>0.24</v>
      </c>
      <c r="AA9">
        <v>0</v>
      </c>
      <c r="AB9">
        <v>559.61</v>
      </c>
      <c r="AC9">
        <v>490.55</v>
      </c>
      <c r="AD9">
        <v>0</v>
      </c>
      <c r="AE9">
        <v>0</v>
      </c>
      <c r="AF9">
        <v>482.42</v>
      </c>
      <c r="AG9">
        <v>490.55</v>
      </c>
      <c r="AH9">
        <v>0</v>
      </c>
      <c r="AI9">
        <v>1</v>
      </c>
      <c r="AJ9">
        <v>1.1599999999999999</v>
      </c>
      <c r="AK9">
        <v>1</v>
      </c>
      <c r="AL9">
        <v>1</v>
      </c>
      <c r="AM9">
        <v>2</v>
      </c>
      <c r="AN9">
        <v>0</v>
      </c>
      <c r="AO9">
        <v>0</v>
      </c>
      <c r="AP9">
        <v>0</v>
      </c>
      <c r="AQ9">
        <v>1</v>
      </c>
      <c r="AR9">
        <v>0</v>
      </c>
      <c r="AS9" t="s">
        <v>3</v>
      </c>
      <c r="AT9">
        <v>0.24</v>
      </c>
      <c r="AU9" t="s">
        <v>3</v>
      </c>
      <c r="AV9">
        <v>1</v>
      </c>
      <c r="AW9">
        <v>2</v>
      </c>
      <c r="AX9">
        <v>65179538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115.7808</v>
      </c>
      <c r="BL9">
        <v>117.732</v>
      </c>
      <c r="BM9">
        <v>0</v>
      </c>
      <c r="BN9">
        <v>0</v>
      </c>
      <c r="BO9">
        <v>0.24</v>
      </c>
      <c r="BP9">
        <v>1</v>
      </c>
      <c r="BQ9">
        <v>0</v>
      </c>
      <c r="BR9">
        <v>115.7808</v>
      </c>
      <c r="BS9">
        <v>117.732</v>
      </c>
      <c r="BT9">
        <v>0</v>
      </c>
      <c r="BU9">
        <v>0</v>
      </c>
      <c r="BV9">
        <v>0.24</v>
      </c>
      <c r="BW9">
        <v>1</v>
      </c>
      <c r="CV9">
        <v>0</v>
      </c>
      <c r="CW9">
        <f>ROUND(Y9*Source!I63*DO9,7)</f>
        <v>7.68</v>
      </c>
      <c r="CX9">
        <f>ROUND(Y9*Source!I63,7)</f>
        <v>7.68</v>
      </c>
      <c r="CY9">
        <f>AB9</f>
        <v>559.61</v>
      </c>
      <c r="CZ9">
        <f>AF9</f>
        <v>482.42</v>
      </c>
      <c r="DA9">
        <f>AJ9</f>
        <v>1.1599999999999999</v>
      </c>
      <c r="DB9">
        <f t="shared" si="1"/>
        <v>115.78</v>
      </c>
      <c r="DC9">
        <f t="shared" si="2"/>
        <v>117.73</v>
      </c>
      <c r="DD9" t="s">
        <v>3</v>
      </c>
      <c r="DE9" t="s">
        <v>3</v>
      </c>
      <c r="DF9">
        <f t="shared" si="3"/>
        <v>0</v>
      </c>
      <c r="DG9">
        <f>ROUND(ROUND(AF9*AJ9,2)*CX9,2)</f>
        <v>4297.8</v>
      </c>
      <c r="DH9">
        <f t="shared" si="4"/>
        <v>3767.42</v>
      </c>
      <c r="DI9">
        <f t="shared" si="5"/>
        <v>0</v>
      </c>
      <c r="DJ9">
        <f>DG9+DH9</f>
        <v>8065.22</v>
      </c>
      <c r="DK9">
        <v>0</v>
      </c>
      <c r="DL9" t="s">
        <v>383</v>
      </c>
      <c r="DM9">
        <v>4</v>
      </c>
      <c r="DN9" t="s">
        <v>372</v>
      </c>
      <c r="DO9">
        <v>1</v>
      </c>
    </row>
    <row r="10" spans="1:119" x14ac:dyDescent="0.2">
      <c r="A10">
        <f>ROW(Source!A64)</f>
        <v>64</v>
      </c>
      <c r="B10">
        <v>65178645</v>
      </c>
      <c r="C10">
        <v>65179539</v>
      </c>
      <c r="D10">
        <v>37066717</v>
      </c>
      <c r="E10">
        <v>108</v>
      </c>
      <c r="F10">
        <v>1</v>
      </c>
      <c r="G10">
        <v>1</v>
      </c>
      <c r="H10">
        <v>1</v>
      </c>
      <c r="I10" t="s">
        <v>384</v>
      </c>
      <c r="J10" t="s">
        <v>3</v>
      </c>
      <c r="K10" t="s">
        <v>385</v>
      </c>
      <c r="L10">
        <v>1191</v>
      </c>
      <c r="N10">
        <v>1013</v>
      </c>
      <c r="O10" t="s">
        <v>372</v>
      </c>
      <c r="P10" t="s">
        <v>372</v>
      </c>
      <c r="Q10">
        <v>1</v>
      </c>
      <c r="W10">
        <v>0</v>
      </c>
      <c r="X10">
        <v>388411409</v>
      </c>
      <c r="Y10">
        <f t="shared" si="0"/>
        <v>0.25</v>
      </c>
      <c r="AA10">
        <v>0</v>
      </c>
      <c r="AB10">
        <v>0</v>
      </c>
      <c r="AC10">
        <v>0</v>
      </c>
      <c r="AD10">
        <v>417.33</v>
      </c>
      <c r="AE10">
        <v>0</v>
      </c>
      <c r="AF10">
        <v>0</v>
      </c>
      <c r="AG10">
        <v>0</v>
      </c>
      <c r="AH10">
        <v>417.33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0</v>
      </c>
      <c r="AP10">
        <v>0</v>
      </c>
      <c r="AQ10">
        <v>1</v>
      </c>
      <c r="AR10">
        <v>0</v>
      </c>
      <c r="AS10" t="s">
        <v>3</v>
      </c>
      <c r="AT10">
        <v>0.25</v>
      </c>
      <c r="AU10" t="s">
        <v>3</v>
      </c>
      <c r="AV10">
        <v>1</v>
      </c>
      <c r="AW10">
        <v>2</v>
      </c>
      <c r="AX10">
        <v>65179544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104.3325</v>
      </c>
      <c r="BN10">
        <v>0.25</v>
      </c>
      <c r="BO10">
        <v>0</v>
      </c>
      <c r="BP10">
        <v>1</v>
      </c>
      <c r="BQ10">
        <v>0</v>
      </c>
      <c r="BR10">
        <v>0</v>
      </c>
      <c r="BS10">
        <v>0</v>
      </c>
      <c r="BT10">
        <v>104.3325</v>
      </c>
      <c r="BU10">
        <v>0.25</v>
      </c>
      <c r="BV10">
        <v>0</v>
      </c>
      <c r="BW10">
        <v>1</v>
      </c>
      <c r="CU10">
        <f>ROUND(AT10*Source!I64*AH10*AL10,2)</f>
        <v>3338.64</v>
      </c>
      <c r="CV10">
        <f>ROUND(Y10*Source!I64,7)</f>
        <v>8</v>
      </c>
      <c r="CW10">
        <v>0</v>
      </c>
      <c r="CX10">
        <f>ROUND(Y10*Source!I64,7)</f>
        <v>8</v>
      </c>
      <c r="CY10">
        <f>AD10</f>
        <v>417.33</v>
      </c>
      <c r="CZ10">
        <f>AH10</f>
        <v>417.33</v>
      </c>
      <c r="DA10">
        <f>AL10</f>
        <v>1</v>
      </c>
      <c r="DB10">
        <f t="shared" si="1"/>
        <v>104.33</v>
      </c>
      <c r="DC10">
        <f t="shared" si="2"/>
        <v>0</v>
      </c>
      <c r="DD10" t="s">
        <v>3</v>
      </c>
      <c r="DE10" t="s">
        <v>3</v>
      </c>
      <c r="DF10">
        <f t="shared" si="3"/>
        <v>0</v>
      </c>
      <c r="DG10">
        <f>ROUND(ROUND(AF10,2)*CX10,2)</f>
        <v>0</v>
      </c>
      <c r="DH10">
        <f t="shared" si="4"/>
        <v>0</v>
      </c>
      <c r="DI10">
        <f t="shared" si="5"/>
        <v>3338.64</v>
      </c>
      <c r="DJ10">
        <f>DI10</f>
        <v>3338.64</v>
      </c>
      <c r="DK10">
        <v>1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ROW(Source!A64)</f>
        <v>64</v>
      </c>
      <c r="B11">
        <v>65178645</v>
      </c>
      <c r="C11">
        <v>65179539</v>
      </c>
      <c r="D11">
        <v>37064876</v>
      </c>
      <c r="E11">
        <v>108</v>
      </c>
      <c r="F11">
        <v>1</v>
      </c>
      <c r="G11">
        <v>1</v>
      </c>
      <c r="H11">
        <v>1</v>
      </c>
      <c r="I11" t="s">
        <v>373</v>
      </c>
      <c r="J11" t="s">
        <v>3</v>
      </c>
      <c r="K11" t="s">
        <v>374</v>
      </c>
      <c r="L11">
        <v>1191</v>
      </c>
      <c r="N11">
        <v>1013</v>
      </c>
      <c r="O11" t="s">
        <v>372</v>
      </c>
      <c r="P11" t="s">
        <v>372</v>
      </c>
      <c r="Q11">
        <v>1</v>
      </c>
      <c r="W11">
        <v>0</v>
      </c>
      <c r="X11">
        <v>-1417349443</v>
      </c>
      <c r="Y11">
        <f t="shared" si="0"/>
        <v>0.14000000000000001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0</v>
      </c>
      <c r="AQ11">
        <v>1</v>
      </c>
      <c r="AR11">
        <v>0</v>
      </c>
      <c r="AS11" t="s">
        <v>3</v>
      </c>
      <c r="AT11">
        <v>0.14000000000000001</v>
      </c>
      <c r="AU11" t="s">
        <v>3</v>
      </c>
      <c r="AV11">
        <v>2</v>
      </c>
      <c r="AW11">
        <v>2</v>
      </c>
      <c r="AX11">
        <v>65179545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ROUND(Y11*Source!I64,7)</f>
        <v>4.4800000000000004</v>
      </c>
      <c r="CY11">
        <f>AD11</f>
        <v>0</v>
      </c>
      <c r="CZ11">
        <f>AH11</f>
        <v>0</v>
      </c>
      <c r="DA11">
        <f>AL11</f>
        <v>1</v>
      </c>
      <c r="DB11">
        <f t="shared" si="1"/>
        <v>0</v>
      </c>
      <c r="DC11">
        <f t="shared" si="2"/>
        <v>0</v>
      </c>
      <c r="DD11" t="s">
        <v>3</v>
      </c>
      <c r="DE11" t="s">
        <v>3</v>
      </c>
      <c r="DF11">
        <f t="shared" si="3"/>
        <v>0</v>
      </c>
      <c r="DG11">
        <f>ROUND(ROUND(AF11,2)*CX11,2)</f>
        <v>0</v>
      </c>
      <c r="DH11">
        <f t="shared" si="4"/>
        <v>0</v>
      </c>
      <c r="DI11">
        <f t="shared" si="5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ROW(Source!A64)</f>
        <v>64</v>
      </c>
      <c r="B12">
        <v>65178645</v>
      </c>
      <c r="C12">
        <v>65179539</v>
      </c>
      <c r="D12">
        <v>56572938</v>
      </c>
      <c r="E12">
        <v>1</v>
      </c>
      <c r="F12">
        <v>1</v>
      </c>
      <c r="G12">
        <v>1</v>
      </c>
      <c r="H12">
        <v>2</v>
      </c>
      <c r="I12" t="s">
        <v>390</v>
      </c>
      <c r="J12" t="s">
        <v>391</v>
      </c>
      <c r="K12" t="s">
        <v>392</v>
      </c>
      <c r="L12">
        <v>1368</v>
      </c>
      <c r="N12">
        <v>1011</v>
      </c>
      <c r="O12" t="s">
        <v>378</v>
      </c>
      <c r="P12" t="s">
        <v>378</v>
      </c>
      <c r="Q12">
        <v>1</v>
      </c>
      <c r="W12">
        <v>0</v>
      </c>
      <c r="X12">
        <v>-1757865898</v>
      </c>
      <c r="Y12">
        <f t="shared" si="0"/>
        <v>0.14000000000000001</v>
      </c>
      <c r="AA12">
        <v>0</v>
      </c>
      <c r="AB12">
        <v>16.66</v>
      </c>
      <c r="AC12">
        <v>0</v>
      </c>
      <c r="AD12">
        <v>0</v>
      </c>
      <c r="AE12">
        <v>0</v>
      </c>
      <c r="AF12">
        <v>16.66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0</v>
      </c>
      <c r="AP12">
        <v>0</v>
      </c>
      <c r="AQ12">
        <v>1</v>
      </c>
      <c r="AR12">
        <v>0</v>
      </c>
      <c r="AS12" t="s">
        <v>3</v>
      </c>
      <c r="AT12">
        <v>0.14000000000000001</v>
      </c>
      <c r="AU12" t="s">
        <v>3</v>
      </c>
      <c r="AV12">
        <v>1</v>
      </c>
      <c r="AW12">
        <v>2</v>
      </c>
      <c r="AX12">
        <v>65179546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2.3324000000000003</v>
      </c>
      <c r="BL12">
        <v>0</v>
      </c>
      <c r="BM12">
        <v>0</v>
      </c>
      <c r="BN12">
        <v>0</v>
      </c>
      <c r="BO12">
        <v>0</v>
      </c>
      <c r="BP12">
        <v>1</v>
      </c>
      <c r="BQ12">
        <v>0</v>
      </c>
      <c r="BR12">
        <v>2.3324000000000003</v>
      </c>
      <c r="BS12">
        <v>0</v>
      </c>
      <c r="BT12">
        <v>0</v>
      </c>
      <c r="BU12">
        <v>0</v>
      </c>
      <c r="BV12">
        <v>0</v>
      </c>
      <c r="BW12">
        <v>1</v>
      </c>
      <c r="CV12">
        <v>0</v>
      </c>
      <c r="CW12">
        <f>ROUND(Y12*Source!I64*DO12,7)</f>
        <v>0</v>
      </c>
      <c r="CX12">
        <f>ROUND(Y12*Source!I64,7)</f>
        <v>4.4800000000000004</v>
      </c>
      <c r="CY12">
        <f>AB12</f>
        <v>16.66</v>
      </c>
      <c r="CZ12">
        <f>AF12</f>
        <v>16.66</v>
      </c>
      <c r="DA12">
        <f>AJ12</f>
        <v>1</v>
      </c>
      <c r="DB12">
        <f t="shared" si="1"/>
        <v>2.33</v>
      </c>
      <c r="DC12">
        <f t="shared" si="2"/>
        <v>0</v>
      </c>
      <c r="DD12" t="s">
        <v>3</v>
      </c>
      <c r="DE12" t="s">
        <v>3</v>
      </c>
      <c r="DF12">
        <f t="shared" si="3"/>
        <v>0</v>
      </c>
      <c r="DG12">
        <f>ROUND(ROUND(AF12,2)*CX12,2)</f>
        <v>74.64</v>
      </c>
      <c r="DH12">
        <f t="shared" si="4"/>
        <v>0</v>
      </c>
      <c r="DI12">
        <f t="shared" si="5"/>
        <v>0</v>
      </c>
      <c r="DJ12">
        <f>DG12+DH12</f>
        <v>74.64</v>
      </c>
      <c r="DK12">
        <v>1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ROW(Source!A64)</f>
        <v>64</v>
      </c>
      <c r="B13">
        <v>65178645</v>
      </c>
      <c r="C13">
        <v>65179539</v>
      </c>
      <c r="D13">
        <v>56572969</v>
      </c>
      <c r="E13">
        <v>1</v>
      </c>
      <c r="F13">
        <v>1</v>
      </c>
      <c r="G13">
        <v>1</v>
      </c>
      <c r="H13">
        <v>2</v>
      </c>
      <c r="I13" t="s">
        <v>393</v>
      </c>
      <c r="J13" t="s">
        <v>394</v>
      </c>
      <c r="K13" t="s">
        <v>395</v>
      </c>
      <c r="L13">
        <v>1368</v>
      </c>
      <c r="N13">
        <v>1011</v>
      </c>
      <c r="O13" t="s">
        <v>378</v>
      </c>
      <c r="P13" t="s">
        <v>378</v>
      </c>
      <c r="Q13">
        <v>1</v>
      </c>
      <c r="W13">
        <v>0</v>
      </c>
      <c r="X13">
        <v>-1976387145</v>
      </c>
      <c r="Y13">
        <f t="shared" si="0"/>
        <v>0.14000000000000001</v>
      </c>
      <c r="AA13">
        <v>0</v>
      </c>
      <c r="AB13">
        <v>559.61</v>
      </c>
      <c r="AC13">
        <v>490.55</v>
      </c>
      <c r="AD13">
        <v>0</v>
      </c>
      <c r="AE13">
        <v>0</v>
      </c>
      <c r="AF13">
        <v>482.42</v>
      </c>
      <c r="AG13">
        <v>490.55</v>
      </c>
      <c r="AH13">
        <v>0</v>
      </c>
      <c r="AI13">
        <v>1</v>
      </c>
      <c r="AJ13">
        <v>1.1599999999999999</v>
      </c>
      <c r="AK13">
        <v>1</v>
      </c>
      <c r="AL13">
        <v>1</v>
      </c>
      <c r="AM13">
        <v>2</v>
      </c>
      <c r="AN13">
        <v>0</v>
      </c>
      <c r="AO13">
        <v>0</v>
      </c>
      <c r="AP13">
        <v>0</v>
      </c>
      <c r="AQ13">
        <v>1</v>
      </c>
      <c r="AR13">
        <v>0</v>
      </c>
      <c r="AS13" t="s">
        <v>3</v>
      </c>
      <c r="AT13">
        <v>0.14000000000000001</v>
      </c>
      <c r="AU13" t="s">
        <v>3</v>
      </c>
      <c r="AV13">
        <v>1</v>
      </c>
      <c r="AW13">
        <v>2</v>
      </c>
      <c r="AX13">
        <v>65179547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67.538800000000009</v>
      </c>
      <c r="BL13">
        <v>68.677000000000007</v>
      </c>
      <c r="BM13">
        <v>0</v>
      </c>
      <c r="BN13">
        <v>0</v>
      </c>
      <c r="BO13">
        <v>0.14000000000000001</v>
      </c>
      <c r="BP13">
        <v>1</v>
      </c>
      <c r="BQ13">
        <v>0</v>
      </c>
      <c r="BR13">
        <v>67.538800000000009</v>
      </c>
      <c r="BS13">
        <v>68.677000000000007</v>
      </c>
      <c r="BT13">
        <v>0</v>
      </c>
      <c r="BU13">
        <v>0</v>
      </c>
      <c r="BV13">
        <v>0.14000000000000001</v>
      </c>
      <c r="BW13">
        <v>1</v>
      </c>
      <c r="CV13">
        <v>0</v>
      </c>
      <c r="CW13">
        <f>ROUND(Y13*Source!I64*DO13,7)</f>
        <v>4.4800000000000004</v>
      </c>
      <c r="CX13">
        <f>ROUND(Y13*Source!I64,7)</f>
        <v>4.4800000000000004</v>
      </c>
      <c r="CY13">
        <f>AB13</f>
        <v>559.61</v>
      </c>
      <c r="CZ13">
        <f>AF13</f>
        <v>482.42</v>
      </c>
      <c r="DA13">
        <f>AJ13</f>
        <v>1.1599999999999999</v>
      </c>
      <c r="DB13">
        <f t="shared" si="1"/>
        <v>67.540000000000006</v>
      </c>
      <c r="DC13">
        <f t="shared" si="2"/>
        <v>68.680000000000007</v>
      </c>
      <c r="DD13" t="s">
        <v>3</v>
      </c>
      <c r="DE13" t="s">
        <v>3</v>
      </c>
      <c r="DF13">
        <f t="shared" si="3"/>
        <v>0</v>
      </c>
      <c r="DG13">
        <f>ROUND(ROUND(AF13*AJ13,2)*CX13,2)</f>
        <v>2507.0500000000002</v>
      </c>
      <c r="DH13">
        <f t="shared" si="4"/>
        <v>2197.66</v>
      </c>
      <c r="DI13">
        <f t="shared" si="5"/>
        <v>0</v>
      </c>
      <c r="DJ13">
        <f>DG13+DH13</f>
        <v>4704.71</v>
      </c>
      <c r="DK13">
        <v>0</v>
      </c>
      <c r="DL13" t="s">
        <v>383</v>
      </c>
      <c r="DM13">
        <v>4</v>
      </c>
      <c r="DN13" t="s">
        <v>372</v>
      </c>
      <c r="DO13">
        <v>1</v>
      </c>
    </row>
    <row r="14" spans="1:119" x14ac:dyDescent="0.2">
      <c r="A14">
        <f>ROW(Source!A65)</f>
        <v>65</v>
      </c>
      <c r="B14">
        <v>65178645</v>
      </c>
      <c r="C14">
        <v>65178805</v>
      </c>
      <c r="D14">
        <v>63884114</v>
      </c>
      <c r="E14">
        <v>112</v>
      </c>
      <c r="F14">
        <v>1</v>
      </c>
      <c r="G14">
        <v>1</v>
      </c>
      <c r="H14">
        <v>1</v>
      </c>
      <c r="I14" t="s">
        <v>396</v>
      </c>
      <c r="J14" t="s">
        <v>3</v>
      </c>
      <c r="K14" t="s">
        <v>397</v>
      </c>
      <c r="L14">
        <v>1191</v>
      </c>
      <c r="N14">
        <v>1013</v>
      </c>
      <c r="O14" t="s">
        <v>372</v>
      </c>
      <c r="P14" t="s">
        <v>372</v>
      </c>
      <c r="Q14">
        <v>1</v>
      </c>
      <c r="W14">
        <v>0</v>
      </c>
      <c r="X14">
        <v>-907905829</v>
      </c>
      <c r="Y14">
        <f t="shared" si="0"/>
        <v>1.27</v>
      </c>
      <c r="AA14">
        <v>0</v>
      </c>
      <c r="AB14">
        <v>0</v>
      </c>
      <c r="AC14">
        <v>0</v>
      </c>
      <c r="AD14">
        <v>428.31</v>
      </c>
      <c r="AE14">
        <v>0</v>
      </c>
      <c r="AF14">
        <v>0</v>
      </c>
      <c r="AG14">
        <v>0</v>
      </c>
      <c r="AH14">
        <v>428.31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3</v>
      </c>
      <c r="AT14">
        <v>1.27</v>
      </c>
      <c r="AU14" t="s">
        <v>3</v>
      </c>
      <c r="AV14">
        <v>1</v>
      </c>
      <c r="AW14">
        <v>2</v>
      </c>
      <c r="AX14">
        <v>65179758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543.95370000000003</v>
      </c>
      <c r="BN14">
        <v>1.27</v>
      </c>
      <c r="BO14">
        <v>0</v>
      </c>
      <c r="BP14">
        <v>1</v>
      </c>
      <c r="BQ14">
        <v>0</v>
      </c>
      <c r="BR14">
        <v>0</v>
      </c>
      <c r="BS14">
        <v>0</v>
      </c>
      <c r="BT14">
        <v>543.95370000000003</v>
      </c>
      <c r="BU14">
        <v>1.27</v>
      </c>
      <c r="BV14">
        <v>0</v>
      </c>
      <c r="BW14">
        <v>1</v>
      </c>
      <c r="CU14">
        <f>ROUND(AT14*Source!I65*AH14*AL14,2)</f>
        <v>17406.52</v>
      </c>
      <c r="CV14">
        <f>ROUND(Y14*Source!I65,7)</f>
        <v>40.64</v>
      </c>
      <c r="CW14">
        <v>0</v>
      </c>
      <c r="CX14">
        <f>ROUND(Y14*Source!I65,7)</f>
        <v>40.64</v>
      </c>
      <c r="CY14">
        <f>AD14</f>
        <v>428.31</v>
      </c>
      <c r="CZ14">
        <f>AH14</f>
        <v>428.31</v>
      </c>
      <c r="DA14">
        <f>AL14</f>
        <v>1</v>
      </c>
      <c r="DB14">
        <f t="shared" si="1"/>
        <v>543.95000000000005</v>
      </c>
      <c r="DC14">
        <f t="shared" si="2"/>
        <v>0</v>
      </c>
      <c r="DD14" t="s">
        <v>3</v>
      </c>
      <c r="DE14" t="s">
        <v>3</v>
      </c>
      <c r="DF14">
        <f t="shared" si="3"/>
        <v>0</v>
      </c>
      <c r="DG14">
        <f>ROUND(ROUND(AF14,2)*CX14,2)</f>
        <v>0</v>
      </c>
      <c r="DH14">
        <f t="shared" si="4"/>
        <v>0</v>
      </c>
      <c r="DI14">
        <f t="shared" si="5"/>
        <v>17406.52</v>
      </c>
      <c r="DJ14">
        <f>DI14</f>
        <v>17406.52</v>
      </c>
      <c r="DK14">
        <v>1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ROW(Source!A65)</f>
        <v>65</v>
      </c>
      <c r="B15">
        <v>65178645</v>
      </c>
      <c r="C15">
        <v>65178805</v>
      </c>
      <c r="D15">
        <v>63884368</v>
      </c>
      <c r="E15">
        <v>112</v>
      </c>
      <c r="F15">
        <v>1</v>
      </c>
      <c r="G15">
        <v>1</v>
      </c>
      <c r="H15">
        <v>1</v>
      </c>
      <c r="I15" t="s">
        <v>373</v>
      </c>
      <c r="J15" t="s">
        <v>3</v>
      </c>
      <c r="K15" t="s">
        <v>374</v>
      </c>
      <c r="L15">
        <v>1191</v>
      </c>
      <c r="N15">
        <v>1013</v>
      </c>
      <c r="O15" t="s">
        <v>372</v>
      </c>
      <c r="P15" t="s">
        <v>372</v>
      </c>
      <c r="Q15">
        <v>1</v>
      </c>
      <c r="W15">
        <v>0</v>
      </c>
      <c r="X15">
        <v>-1417349443</v>
      </c>
      <c r="Y15">
        <f t="shared" si="0"/>
        <v>0.41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3</v>
      </c>
      <c r="AT15">
        <v>0.41</v>
      </c>
      <c r="AU15" t="s">
        <v>3</v>
      </c>
      <c r="AV15">
        <v>2</v>
      </c>
      <c r="AW15">
        <v>2</v>
      </c>
      <c r="AX15">
        <v>65179759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ROUND(Y15*Source!I65,7)</f>
        <v>13.12</v>
      </c>
      <c r="CY15">
        <f>AD15</f>
        <v>0</v>
      </c>
      <c r="CZ15">
        <f>AH15</f>
        <v>0</v>
      </c>
      <c r="DA15">
        <f>AL15</f>
        <v>1</v>
      </c>
      <c r="DB15">
        <f t="shared" si="1"/>
        <v>0</v>
      </c>
      <c r="DC15">
        <f t="shared" si="2"/>
        <v>0</v>
      </c>
      <c r="DD15" t="s">
        <v>3</v>
      </c>
      <c r="DE15" t="s">
        <v>3</v>
      </c>
      <c r="DF15">
        <f t="shared" si="3"/>
        <v>0</v>
      </c>
      <c r="DG15">
        <f>ROUND(ROUND(AF15,2)*CX15,2)</f>
        <v>0</v>
      </c>
      <c r="DH15">
        <f t="shared" si="4"/>
        <v>0</v>
      </c>
      <c r="DI15">
        <f t="shared" si="5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ROW(Source!A65)</f>
        <v>65</v>
      </c>
      <c r="B16">
        <v>65178645</v>
      </c>
      <c r="C16">
        <v>65178805</v>
      </c>
      <c r="D16">
        <v>64001688</v>
      </c>
      <c r="E16">
        <v>1</v>
      </c>
      <c r="F16">
        <v>1</v>
      </c>
      <c r="G16">
        <v>1</v>
      </c>
      <c r="H16">
        <v>2</v>
      </c>
      <c r="I16" t="s">
        <v>398</v>
      </c>
      <c r="J16" t="s">
        <v>399</v>
      </c>
      <c r="K16" t="s">
        <v>400</v>
      </c>
      <c r="L16">
        <v>1368</v>
      </c>
      <c r="N16">
        <v>1011</v>
      </c>
      <c r="O16" t="s">
        <v>378</v>
      </c>
      <c r="P16" t="s">
        <v>378</v>
      </c>
      <c r="Q16">
        <v>1</v>
      </c>
      <c r="W16">
        <v>0</v>
      </c>
      <c r="X16">
        <v>-780150906</v>
      </c>
      <c r="Y16">
        <f t="shared" si="0"/>
        <v>0.35</v>
      </c>
      <c r="AA16">
        <v>0</v>
      </c>
      <c r="AB16">
        <v>471.55</v>
      </c>
      <c r="AC16">
        <v>490.55</v>
      </c>
      <c r="AD16">
        <v>0</v>
      </c>
      <c r="AE16">
        <v>0</v>
      </c>
      <c r="AF16">
        <v>346.73</v>
      </c>
      <c r="AG16">
        <v>490.55</v>
      </c>
      <c r="AH16">
        <v>0</v>
      </c>
      <c r="AI16">
        <v>1</v>
      </c>
      <c r="AJ16">
        <v>1.36</v>
      </c>
      <c r="AK16">
        <v>1</v>
      </c>
      <c r="AL16">
        <v>1</v>
      </c>
      <c r="AM16">
        <v>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0.35</v>
      </c>
      <c r="AU16" t="s">
        <v>3</v>
      </c>
      <c r="AV16">
        <v>1</v>
      </c>
      <c r="AW16">
        <v>2</v>
      </c>
      <c r="AX16">
        <v>65179760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121.35549999999999</v>
      </c>
      <c r="BL16">
        <v>171.6925</v>
      </c>
      <c r="BM16">
        <v>0</v>
      </c>
      <c r="BN16">
        <v>0</v>
      </c>
      <c r="BO16">
        <v>0.35</v>
      </c>
      <c r="BP16">
        <v>1</v>
      </c>
      <c r="BQ16">
        <v>0</v>
      </c>
      <c r="BR16">
        <v>121.35549999999999</v>
      </c>
      <c r="BS16">
        <v>171.6925</v>
      </c>
      <c r="BT16">
        <v>0</v>
      </c>
      <c r="BU16">
        <v>0</v>
      </c>
      <c r="BV16">
        <v>0.35</v>
      </c>
      <c r="BW16">
        <v>1</v>
      </c>
      <c r="CV16">
        <v>0</v>
      </c>
      <c r="CW16">
        <f>ROUND(Y16*Source!I65*DO16,7)</f>
        <v>11.2</v>
      </c>
      <c r="CX16">
        <f>ROUND(Y16*Source!I65,7)</f>
        <v>11.2</v>
      </c>
      <c r="CY16">
        <f>AB16</f>
        <v>471.55</v>
      </c>
      <c r="CZ16">
        <f>AF16</f>
        <v>346.73</v>
      </c>
      <c r="DA16">
        <f>AJ16</f>
        <v>1.36</v>
      </c>
      <c r="DB16">
        <f t="shared" si="1"/>
        <v>121.36</v>
      </c>
      <c r="DC16">
        <f t="shared" si="2"/>
        <v>171.69</v>
      </c>
      <c r="DD16" t="s">
        <v>3</v>
      </c>
      <c r="DE16" t="s">
        <v>3</v>
      </c>
      <c r="DF16">
        <f t="shared" si="3"/>
        <v>0</v>
      </c>
      <c r="DG16">
        <f>ROUND(ROUND(AF16*AJ16,2)*CX16,2)</f>
        <v>5281.36</v>
      </c>
      <c r="DH16">
        <f t="shared" si="4"/>
        <v>5494.16</v>
      </c>
      <c r="DI16">
        <f t="shared" si="5"/>
        <v>0</v>
      </c>
      <c r="DJ16">
        <f>DG16+DH16</f>
        <v>10775.52</v>
      </c>
      <c r="DK16">
        <v>0</v>
      </c>
      <c r="DL16" t="s">
        <v>383</v>
      </c>
      <c r="DM16">
        <v>4</v>
      </c>
      <c r="DN16" t="s">
        <v>372</v>
      </c>
      <c r="DO16">
        <v>1</v>
      </c>
    </row>
    <row r="17" spans="1:119" x14ac:dyDescent="0.2">
      <c r="A17">
        <f>ROW(Source!A65)</f>
        <v>65</v>
      </c>
      <c r="B17">
        <v>65178645</v>
      </c>
      <c r="C17">
        <v>65178805</v>
      </c>
      <c r="D17">
        <v>64002400</v>
      </c>
      <c r="E17">
        <v>1</v>
      </c>
      <c r="F17">
        <v>1</v>
      </c>
      <c r="G17">
        <v>1</v>
      </c>
      <c r="H17">
        <v>2</v>
      </c>
      <c r="I17" t="s">
        <v>380</v>
      </c>
      <c r="J17" t="s">
        <v>381</v>
      </c>
      <c r="K17" t="s">
        <v>382</v>
      </c>
      <c r="L17">
        <v>1368</v>
      </c>
      <c r="N17">
        <v>1011</v>
      </c>
      <c r="O17" t="s">
        <v>378</v>
      </c>
      <c r="P17" t="s">
        <v>378</v>
      </c>
      <c r="Q17">
        <v>1</v>
      </c>
      <c r="W17">
        <v>0</v>
      </c>
      <c r="X17">
        <v>1032761012</v>
      </c>
      <c r="Y17">
        <f t="shared" si="0"/>
        <v>0.06</v>
      </c>
      <c r="AA17">
        <v>0</v>
      </c>
      <c r="AB17">
        <v>578.28</v>
      </c>
      <c r="AC17">
        <v>490.55</v>
      </c>
      <c r="AD17">
        <v>0</v>
      </c>
      <c r="AE17">
        <v>0</v>
      </c>
      <c r="AF17">
        <v>477.92</v>
      </c>
      <c r="AG17">
        <v>490.55</v>
      </c>
      <c r="AH17">
        <v>0</v>
      </c>
      <c r="AI17">
        <v>1</v>
      </c>
      <c r="AJ17">
        <v>1.21</v>
      </c>
      <c r="AK17">
        <v>1</v>
      </c>
      <c r="AL17">
        <v>1</v>
      </c>
      <c r="AM17">
        <v>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0.06</v>
      </c>
      <c r="AU17" t="s">
        <v>3</v>
      </c>
      <c r="AV17">
        <v>1</v>
      </c>
      <c r="AW17">
        <v>2</v>
      </c>
      <c r="AX17">
        <v>65179761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28.6752</v>
      </c>
      <c r="BL17">
        <v>29.433</v>
      </c>
      <c r="BM17">
        <v>0</v>
      </c>
      <c r="BN17">
        <v>0</v>
      </c>
      <c r="BO17">
        <v>0.06</v>
      </c>
      <c r="BP17">
        <v>1</v>
      </c>
      <c r="BQ17">
        <v>0</v>
      </c>
      <c r="BR17">
        <v>28.6752</v>
      </c>
      <c r="BS17">
        <v>29.433</v>
      </c>
      <c r="BT17">
        <v>0</v>
      </c>
      <c r="BU17">
        <v>0</v>
      </c>
      <c r="BV17">
        <v>0.06</v>
      </c>
      <c r="BW17">
        <v>1</v>
      </c>
      <c r="CV17">
        <v>0</v>
      </c>
      <c r="CW17">
        <f>ROUND(Y17*Source!I65*DO17,7)</f>
        <v>1.92</v>
      </c>
      <c r="CX17">
        <f>ROUND(Y17*Source!I65,7)</f>
        <v>1.92</v>
      </c>
      <c r="CY17">
        <f>AB17</f>
        <v>578.28</v>
      </c>
      <c r="CZ17">
        <f>AF17</f>
        <v>477.92</v>
      </c>
      <c r="DA17">
        <f>AJ17</f>
        <v>1.21</v>
      </c>
      <c r="DB17">
        <f t="shared" si="1"/>
        <v>28.68</v>
      </c>
      <c r="DC17">
        <f t="shared" si="2"/>
        <v>29.43</v>
      </c>
      <c r="DD17" t="s">
        <v>3</v>
      </c>
      <c r="DE17" t="s">
        <v>3</v>
      </c>
      <c r="DF17">
        <f t="shared" si="3"/>
        <v>0</v>
      </c>
      <c r="DG17">
        <f>ROUND(ROUND(AF17*AJ17,2)*CX17,2)</f>
        <v>1110.3</v>
      </c>
      <c r="DH17">
        <f t="shared" si="4"/>
        <v>941.86</v>
      </c>
      <c r="DI17">
        <f t="shared" si="5"/>
        <v>0</v>
      </c>
      <c r="DJ17">
        <f>DG17+DH17</f>
        <v>2052.16</v>
      </c>
      <c r="DK17">
        <v>0</v>
      </c>
      <c r="DL17" t="s">
        <v>383</v>
      </c>
      <c r="DM17">
        <v>4</v>
      </c>
      <c r="DN17" t="s">
        <v>372</v>
      </c>
      <c r="DO17">
        <v>1</v>
      </c>
    </row>
    <row r="18" spans="1:119" x14ac:dyDescent="0.2">
      <c r="A18">
        <f>ROW(Source!A66)</f>
        <v>66</v>
      </c>
      <c r="B18">
        <v>65178645</v>
      </c>
      <c r="C18">
        <v>65178814</v>
      </c>
      <c r="D18">
        <v>63884102</v>
      </c>
      <c r="E18">
        <v>112</v>
      </c>
      <c r="F18">
        <v>1</v>
      </c>
      <c r="G18">
        <v>1</v>
      </c>
      <c r="H18">
        <v>1</v>
      </c>
      <c r="I18" t="s">
        <v>401</v>
      </c>
      <c r="J18" t="s">
        <v>3</v>
      </c>
      <c r="K18" t="s">
        <v>402</v>
      </c>
      <c r="L18">
        <v>1191</v>
      </c>
      <c r="N18">
        <v>1013</v>
      </c>
      <c r="O18" t="s">
        <v>372</v>
      </c>
      <c r="P18" t="s">
        <v>372</v>
      </c>
      <c r="Q18">
        <v>1</v>
      </c>
      <c r="W18">
        <v>0</v>
      </c>
      <c r="X18">
        <v>1647542322</v>
      </c>
      <c r="Y18">
        <f>(AT18*ROUND(2,7))</f>
        <v>0.3</v>
      </c>
      <c r="AA18">
        <v>0</v>
      </c>
      <c r="AB18">
        <v>0</v>
      </c>
      <c r="AC18">
        <v>0</v>
      </c>
      <c r="AD18">
        <v>420.99</v>
      </c>
      <c r="AE18">
        <v>0</v>
      </c>
      <c r="AF18">
        <v>0</v>
      </c>
      <c r="AG18">
        <v>0</v>
      </c>
      <c r="AH18">
        <v>420.99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0.15</v>
      </c>
      <c r="AU18" t="s">
        <v>100</v>
      </c>
      <c r="AV18">
        <v>1</v>
      </c>
      <c r="AW18">
        <v>2</v>
      </c>
      <c r="AX18">
        <v>65179552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63.148499999999999</v>
      </c>
      <c r="BN18">
        <v>0.15</v>
      </c>
      <c r="BO18">
        <v>0</v>
      </c>
      <c r="BP18">
        <v>1</v>
      </c>
      <c r="BQ18">
        <v>0</v>
      </c>
      <c r="BR18">
        <v>0</v>
      </c>
      <c r="BS18">
        <v>0</v>
      </c>
      <c r="BT18">
        <v>126.297</v>
      </c>
      <c r="BU18">
        <v>0.3</v>
      </c>
      <c r="BV18">
        <v>0</v>
      </c>
      <c r="BW18">
        <v>1</v>
      </c>
      <c r="CU18">
        <f>ROUND(AT18*Source!I66*AH18*AL18,2)</f>
        <v>2020.75</v>
      </c>
      <c r="CV18">
        <f>ROUND(Y18*Source!I66,7)</f>
        <v>9.6</v>
      </c>
      <c r="CW18">
        <v>0</v>
      </c>
      <c r="CX18">
        <f>ROUND(Y18*Source!I66,7)</f>
        <v>9.6</v>
      </c>
      <c r="CY18">
        <f>AD18</f>
        <v>420.99</v>
      </c>
      <c r="CZ18">
        <f>AH18</f>
        <v>420.99</v>
      </c>
      <c r="DA18">
        <f>AL18</f>
        <v>1</v>
      </c>
      <c r="DB18">
        <f>ROUND((ROUND(AT18*CZ18,2)*ROUND(2,7)),6)</f>
        <v>126.3</v>
      </c>
      <c r="DC18">
        <f>ROUND((ROUND(AT18*AG18,2)*ROUND(2,7)),6)</f>
        <v>0</v>
      </c>
      <c r="DD18" t="s">
        <v>3</v>
      </c>
      <c r="DE18" t="s">
        <v>3</v>
      </c>
      <c r="DF18">
        <f t="shared" si="3"/>
        <v>0</v>
      </c>
      <c r="DG18">
        <f>ROUND(ROUND(AF18,2)*CX18,2)</f>
        <v>0</v>
      </c>
      <c r="DH18">
        <f t="shared" si="4"/>
        <v>0</v>
      </c>
      <c r="DI18">
        <f t="shared" si="5"/>
        <v>4041.5</v>
      </c>
      <c r="DJ18">
        <f>DI18</f>
        <v>4041.5</v>
      </c>
      <c r="DK18">
        <v>1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ROW(Source!A66)</f>
        <v>66</v>
      </c>
      <c r="B19">
        <v>65178645</v>
      </c>
      <c r="C19">
        <v>65178814</v>
      </c>
      <c r="D19">
        <v>63884368</v>
      </c>
      <c r="E19">
        <v>112</v>
      </c>
      <c r="F19">
        <v>1</v>
      </c>
      <c r="G19">
        <v>1</v>
      </c>
      <c r="H19">
        <v>1</v>
      </c>
      <c r="I19" t="s">
        <v>373</v>
      </c>
      <c r="J19" t="s">
        <v>3</v>
      </c>
      <c r="K19" t="s">
        <v>374</v>
      </c>
      <c r="L19">
        <v>1191</v>
      </c>
      <c r="N19">
        <v>1013</v>
      </c>
      <c r="O19" t="s">
        <v>372</v>
      </c>
      <c r="P19" t="s">
        <v>372</v>
      </c>
      <c r="Q19">
        <v>1</v>
      </c>
      <c r="W19">
        <v>0</v>
      </c>
      <c r="X19">
        <v>-1417349443</v>
      </c>
      <c r="Y19">
        <f>(AT19*ROUND(2,7))</f>
        <v>0.16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0.08</v>
      </c>
      <c r="AU19" t="s">
        <v>100</v>
      </c>
      <c r="AV19">
        <v>2</v>
      </c>
      <c r="AW19">
        <v>2</v>
      </c>
      <c r="AX19">
        <v>65179553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ROUND(Y19*Source!I66,7)</f>
        <v>5.12</v>
      </c>
      <c r="CY19">
        <f>AD19</f>
        <v>0</v>
      </c>
      <c r="CZ19">
        <f>AH19</f>
        <v>0</v>
      </c>
      <c r="DA19">
        <f>AL19</f>
        <v>1</v>
      </c>
      <c r="DB19">
        <f>ROUND((ROUND(AT19*CZ19,2)*ROUND(2,7)),6)</f>
        <v>0</v>
      </c>
      <c r="DC19">
        <f>ROUND((ROUND(AT19*AG19,2)*ROUND(2,7)),6)</f>
        <v>0</v>
      </c>
      <c r="DD19" t="s">
        <v>3</v>
      </c>
      <c r="DE19" t="s">
        <v>3</v>
      </c>
      <c r="DF19">
        <f t="shared" si="3"/>
        <v>0</v>
      </c>
      <c r="DG19">
        <f>ROUND(ROUND(AF19,2)*CX19,2)</f>
        <v>0</v>
      </c>
      <c r="DH19">
        <f t="shared" si="4"/>
        <v>0</v>
      </c>
      <c r="DI19">
        <f t="shared" si="5"/>
        <v>0</v>
      </c>
      <c r="DJ19">
        <f>DI19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ROW(Source!A66)</f>
        <v>66</v>
      </c>
      <c r="B20">
        <v>65178645</v>
      </c>
      <c r="C20">
        <v>65178814</v>
      </c>
      <c r="D20">
        <v>64001688</v>
      </c>
      <c r="E20">
        <v>1</v>
      </c>
      <c r="F20">
        <v>1</v>
      </c>
      <c r="G20">
        <v>1</v>
      </c>
      <c r="H20">
        <v>2</v>
      </c>
      <c r="I20" t="s">
        <v>398</v>
      </c>
      <c r="J20" t="s">
        <v>399</v>
      </c>
      <c r="K20" t="s">
        <v>400</v>
      </c>
      <c r="L20">
        <v>1368</v>
      </c>
      <c r="N20">
        <v>1011</v>
      </c>
      <c r="O20" t="s">
        <v>378</v>
      </c>
      <c r="P20" t="s">
        <v>378</v>
      </c>
      <c r="Q20">
        <v>1</v>
      </c>
      <c r="W20">
        <v>0</v>
      </c>
      <c r="X20">
        <v>-780150906</v>
      </c>
      <c r="Y20">
        <f>(AT20*ROUND(2,7))</f>
        <v>0.14000000000000001</v>
      </c>
      <c r="AA20">
        <v>0</v>
      </c>
      <c r="AB20">
        <v>471.55</v>
      </c>
      <c r="AC20">
        <v>490.55</v>
      </c>
      <c r="AD20">
        <v>0</v>
      </c>
      <c r="AE20">
        <v>0</v>
      </c>
      <c r="AF20">
        <v>346.73</v>
      </c>
      <c r="AG20">
        <v>490.55</v>
      </c>
      <c r="AH20">
        <v>0</v>
      </c>
      <c r="AI20">
        <v>1</v>
      </c>
      <c r="AJ20">
        <v>1.36</v>
      </c>
      <c r="AK20">
        <v>1</v>
      </c>
      <c r="AL20">
        <v>1</v>
      </c>
      <c r="AM20">
        <v>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7.0000000000000007E-2</v>
      </c>
      <c r="AU20" t="s">
        <v>100</v>
      </c>
      <c r="AV20">
        <v>1</v>
      </c>
      <c r="AW20">
        <v>2</v>
      </c>
      <c r="AX20">
        <v>65179554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24.271100000000004</v>
      </c>
      <c r="BL20">
        <v>34.338500000000003</v>
      </c>
      <c r="BM20">
        <v>0</v>
      </c>
      <c r="BN20">
        <v>0</v>
      </c>
      <c r="BO20">
        <v>7.0000000000000007E-2</v>
      </c>
      <c r="BP20">
        <v>1</v>
      </c>
      <c r="BQ20">
        <v>0</v>
      </c>
      <c r="BR20">
        <v>48.542200000000008</v>
      </c>
      <c r="BS20">
        <v>68.677000000000007</v>
      </c>
      <c r="BT20">
        <v>0</v>
      </c>
      <c r="BU20">
        <v>0</v>
      </c>
      <c r="BV20">
        <v>0.14000000000000001</v>
      </c>
      <c r="BW20">
        <v>1</v>
      </c>
      <c r="CV20">
        <v>0</v>
      </c>
      <c r="CW20">
        <f>ROUND(Y20*Source!I66*DO20,7)</f>
        <v>4.4800000000000004</v>
      </c>
      <c r="CX20">
        <f>ROUND(Y20*Source!I66,7)</f>
        <v>4.4800000000000004</v>
      </c>
      <c r="CY20">
        <f>AB20</f>
        <v>471.55</v>
      </c>
      <c r="CZ20">
        <f>AF20</f>
        <v>346.73</v>
      </c>
      <c r="DA20">
        <f>AJ20</f>
        <v>1.36</v>
      </c>
      <c r="DB20">
        <f>ROUND((ROUND(AT20*CZ20,2)*ROUND(2,7)),6)</f>
        <v>48.54</v>
      </c>
      <c r="DC20">
        <f>ROUND((ROUND(AT20*AG20,2)*ROUND(2,7)),6)</f>
        <v>68.680000000000007</v>
      </c>
      <c r="DD20" t="s">
        <v>3</v>
      </c>
      <c r="DE20" t="s">
        <v>3</v>
      </c>
      <c r="DF20">
        <f t="shared" si="3"/>
        <v>0</v>
      </c>
      <c r="DG20">
        <f>ROUND(ROUND(AF20*AJ20,2)*CX20,2)</f>
        <v>2112.54</v>
      </c>
      <c r="DH20">
        <f t="shared" si="4"/>
        <v>2197.66</v>
      </c>
      <c r="DI20">
        <f t="shared" si="5"/>
        <v>0</v>
      </c>
      <c r="DJ20">
        <f>DG20+DH20</f>
        <v>4310.2</v>
      </c>
      <c r="DK20">
        <v>0</v>
      </c>
      <c r="DL20" t="s">
        <v>383</v>
      </c>
      <c r="DM20">
        <v>4</v>
      </c>
      <c r="DN20" t="s">
        <v>372</v>
      </c>
      <c r="DO20">
        <v>1</v>
      </c>
    </row>
    <row r="21" spans="1:119" x14ac:dyDescent="0.2">
      <c r="A21">
        <f>ROW(Source!A66)</f>
        <v>66</v>
      </c>
      <c r="B21">
        <v>65178645</v>
      </c>
      <c r="C21">
        <v>65178814</v>
      </c>
      <c r="D21">
        <v>64002400</v>
      </c>
      <c r="E21">
        <v>1</v>
      </c>
      <c r="F21">
        <v>1</v>
      </c>
      <c r="G21">
        <v>1</v>
      </c>
      <c r="H21">
        <v>2</v>
      </c>
      <c r="I21" t="s">
        <v>380</v>
      </c>
      <c r="J21" t="s">
        <v>381</v>
      </c>
      <c r="K21" t="s">
        <v>382</v>
      </c>
      <c r="L21">
        <v>1368</v>
      </c>
      <c r="N21">
        <v>1011</v>
      </c>
      <c r="O21" t="s">
        <v>378</v>
      </c>
      <c r="P21" t="s">
        <v>378</v>
      </c>
      <c r="Q21">
        <v>1</v>
      </c>
      <c r="W21">
        <v>0</v>
      </c>
      <c r="X21">
        <v>1032761012</v>
      </c>
      <c r="Y21">
        <f>(AT21*ROUND(2,7))</f>
        <v>0.02</v>
      </c>
      <c r="AA21">
        <v>0</v>
      </c>
      <c r="AB21">
        <v>578.28</v>
      </c>
      <c r="AC21">
        <v>490.55</v>
      </c>
      <c r="AD21">
        <v>0</v>
      </c>
      <c r="AE21">
        <v>0</v>
      </c>
      <c r="AF21">
        <v>477.92</v>
      </c>
      <c r="AG21">
        <v>490.55</v>
      </c>
      <c r="AH21">
        <v>0</v>
      </c>
      <c r="AI21">
        <v>1</v>
      </c>
      <c r="AJ21">
        <v>1.21</v>
      </c>
      <c r="AK21">
        <v>1</v>
      </c>
      <c r="AL21">
        <v>1</v>
      </c>
      <c r="AM21">
        <v>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0.01</v>
      </c>
      <c r="AU21" t="s">
        <v>100</v>
      </c>
      <c r="AV21">
        <v>1</v>
      </c>
      <c r="AW21">
        <v>2</v>
      </c>
      <c r="AX21">
        <v>65179555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4.7792000000000003</v>
      </c>
      <c r="BL21">
        <v>4.9055</v>
      </c>
      <c r="BM21">
        <v>0</v>
      </c>
      <c r="BN21">
        <v>0</v>
      </c>
      <c r="BO21">
        <v>0.01</v>
      </c>
      <c r="BP21">
        <v>1</v>
      </c>
      <c r="BQ21">
        <v>0</v>
      </c>
      <c r="BR21">
        <v>9.5584000000000007</v>
      </c>
      <c r="BS21">
        <v>9.8109999999999999</v>
      </c>
      <c r="BT21">
        <v>0</v>
      </c>
      <c r="BU21">
        <v>0</v>
      </c>
      <c r="BV21">
        <v>0.02</v>
      </c>
      <c r="BW21">
        <v>1</v>
      </c>
      <c r="CV21">
        <v>0</v>
      </c>
      <c r="CW21">
        <f>ROUND(Y21*Source!I66*DO21,7)</f>
        <v>0.64</v>
      </c>
      <c r="CX21">
        <f>ROUND(Y21*Source!I66,7)</f>
        <v>0.64</v>
      </c>
      <c r="CY21">
        <f>AB21</f>
        <v>578.28</v>
      </c>
      <c r="CZ21">
        <f>AF21</f>
        <v>477.92</v>
      </c>
      <c r="DA21">
        <f>AJ21</f>
        <v>1.21</v>
      </c>
      <c r="DB21">
        <f>ROUND((ROUND(AT21*CZ21,2)*ROUND(2,7)),6)</f>
        <v>9.56</v>
      </c>
      <c r="DC21">
        <f>ROUND((ROUND(AT21*AG21,2)*ROUND(2,7)),6)</f>
        <v>9.82</v>
      </c>
      <c r="DD21" t="s">
        <v>3</v>
      </c>
      <c r="DE21" t="s">
        <v>3</v>
      </c>
      <c r="DF21">
        <f t="shared" si="3"/>
        <v>0</v>
      </c>
      <c r="DG21">
        <f>ROUND(ROUND(AF21*AJ21,2)*CX21,2)</f>
        <v>370.1</v>
      </c>
      <c r="DH21">
        <f t="shared" si="4"/>
        <v>313.95</v>
      </c>
      <c r="DI21">
        <f t="shared" si="5"/>
        <v>0</v>
      </c>
      <c r="DJ21">
        <f>DG21+DH21</f>
        <v>684.05</v>
      </c>
      <c r="DK21">
        <v>0</v>
      </c>
      <c r="DL21" t="s">
        <v>383</v>
      </c>
      <c r="DM21">
        <v>4</v>
      </c>
      <c r="DN21" t="s">
        <v>372</v>
      </c>
      <c r="DO21">
        <v>1</v>
      </c>
    </row>
    <row r="22" spans="1:119" x14ac:dyDescent="0.2">
      <c r="A22">
        <f>ROW(Source!A67)</f>
        <v>67</v>
      </c>
      <c r="B22">
        <v>65178645</v>
      </c>
      <c r="C22">
        <v>65178854</v>
      </c>
      <c r="D22">
        <v>63884099</v>
      </c>
      <c r="E22">
        <v>112</v>
      </c>
      <c r="F22">
        <v>1</v>
      </c>
      <c r="G22">
        <v>1</v>
      </c>
      <c r="H22">
        <v>1</v>
      </c>
      <c r="I22" t="s">
        <v>384</v>
      </c>
      <c r="J22" t="s">
        <v>3</v>
      </c>
      <c r="K22" t="s">
        <v>403</v>
      </c>
      <c r="L22">
        <v>1191</v>
      </c>
      <c r="N22">
        <v>1013</v>
      </c>
      <c r="O22" t="s">
        <v>372</v>
      </c>
      <c r="P22" t="s">
        <v>372</v>
      </c>
      <c r="Q22">
        <v>1</v>
      </c>
      <c r="W22">
        <v>0</v>
      </c>
      <c r="X22">
        <v>-1991603921</v>
      </c>
      <c r="Y22">
        <f>AT22</f>
        <v>0.61</v>
      </c>
      <c r="AA22">
        <v>0</v>
      </c>
      <c r="AB22">
        <v>0</v>
      </c>
      <c r="AC22">
        <v>0</v>
      </c>
      <c r="AD22">
        <v>417.33</v>
      </c>
      <c r="AE22">
        <v>0</v>
      </c>
      <c r="AF22">
        <v>0</v>
      </c>
      <c r="AG22">
        <v>0</v>
      </c>
      <c r="AH22">
        <v>417.33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1</v>
      </c>
      <c r="AQ22">
        <v>1</v>
      </c>
      <c r="AR22">
        <v>0</v>
      </c>
      <c r="AS22" t="s">
        <v>3</v>
      </c>
      <c r="AT22">
        <v>0.61</v>
      </c>
      <c r="AU22" t="s">
        <v>3</v>
      </c>
      <c r="AV22">
        <v>1</v>
      </c>
      <c r="AW22">
        <v>2</v>
      </c>
      <c r="AX22">
        <v>65179596</v>
      </c>
      <c r="AY22">
        <v>1</v>
      </c>
      <c r="AZ22">
        <v>0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254.57129999999998</v>
      </c>
      <c r="BN22">
        <v>0.61</v>
      </c>
      <c r="BO22">
        <v>0</v>
      </c>
      <c r="BP22">
        <v>1</v>
      </c>
      <c r="BQ22">
        <v>0</v>
      </c>
      <c r="BR22">
        <v>0</v>
      </c>
      <c r="BS22">
        <v>0</v>
      </c>
      <c r="BT22">
        <v>254.57129999999998</v>
      </c>
      <c r="BU22">
        <v>0.61</v>
      </c>
      <c r="BV22">
        <v>0</v>
      </c>
      <c r="BW22">
        <v>1</v>
      </c>
      <c r="CU22">
        <f>ROUND(AT22*Source!I67*AH22*AL22,2)</f>
        <v>15274.28</v>
      </c>
      <c r="CV22">
        <f>ROUND(Y22*Source!I67,7)</f>
        <v>36.6</v>
      </c>
      <c r="CW22">
        <v>0</v>
      </c>
      <c r="CX22">
        <f>ROUND(Y22*Source!I67,7)</f>
        <v>36.6</v>
      </c>
      <c r="CY22">
        <f>AD22</f>
        <v>417.33</v>
      </c>
      <c r="CZ22">
        <f>AH22</f>
        <v>417.33</v>
      </c>
      <c r="DA22">
        <f>AL22</f>
        <v>1</v>
      </c>
      <c r="DB22">
        <f>ROUND(ROUND(AT22*CZ22,2),6)</f>
        <v>254.57</v>
      </c>
      <c r="DC22">
        <f>ROUND(ROUND(AT22*AG22,2),6)</f>
        <v>0</v>
      </c>
      <c r="DD22" t="s">
        <v>3</v>
      </c>
      <c r="DE22" t="s">
        <v>3</v>
      </c>
      <c r="DF22">
        <f t="shared" si="3"/>
        <v>0</v>
      </c>
      <c r="DG22">
        <f>ROUND(ROUND(AF22,2)*CX22,2)</f>
        <v>0</v>
      </c>
      <c r="DH22">
        <f t="shared" si="4"/>
        <v>0</v>
      </c>
      <c r="DI22">
        <f t="shared" si="5"/>
        <v>15274.28</v>
      </c>
      <c r="DJ22">
        <f>DI22</f>
        <v>15274.28</v>
      </c>
      <c r="DK22">
        <v>1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ROW(Source!A67)</f>
        <v>67</v>
      </c>
      <c r="B23">
        <v>65178645</v>
      </c>
      <c r="C23">
        <v>65178854</v>
      </c>
      <c r="D23">
        <v>63884368</v>
      </c>
      <c r="E23">
        <v>112</v>
      </c>
      <c r="F23">
        <v>1</v>
      </c>
      <c r="G23">
        <v>1</v>
      </c>
      <c r="H23">
        <v>1</v>
      </c>
      <c r="I23" t="s">
        <v>373</v>
      </c>
      <c r="J23" t="s">
        <v>3</v>
      </c>
      <c r="K23" t="s">
        <v>374</v>
      </c>
      <c r="L23">
        <v>1191</v>
      </c>
      <c r="N23">
        <v>1013</v>
      </c>
      <c r="O23" t="s">
        <v>372</v>
      </c>
      <c r="P23" t="s">
        <v>372</v>
      </c>
      <c r="Q23">
        <v>1</v>
      </c>
      <c r="W23">
        <v>0</v>
      </c>
      <c r="X23">
        <v>-1417349443</v>
      </c>
      <c r="Y23">
        <f>AT23</f>
        <v>0.03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3</v>
      </c>
      <c r="AT23">
        <v>0.03</v>
      </c>
      <c r="AU23" t="s">
        <v>3</v>
      </c>
      <c r="AV23">
        <v>2</v>
      </c>
      <c r="AW23">
        <v>2</v>
      </c>
      <c r="AX23">
        <v>65179597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ROUND(Y23*Source!I67,7)</f>
        <v>1.8</v>
      </c>
      <c r="CY23">
        <f>AD23</f>
        <v>0</v>
      </c>
      <c r="CZ23">
        <f>AH23</f>
        <v>0</v>
      </c>
      <c r="DA23">
        <f>AL23</f>
        <v>1</v>
      </c>
      <c r="DB23">
        <f>ROUND(ROUND(AT23*CZ23,2),6)</f>
        <v>0</v>
      </c>
      <c r="DC23">
        <f>ROUND(ROUND(AT23*AG23,2),6)</f>
        <v>0</v>
      </c>
      <c r="DD23" t="s">
        <v>3</v>
      </c>
      <c r="DE23" t="s">
        <v>3</v>
      </c>
      <c r="DF23">
        <f t="shared" si="3"/>
        <v>0</v>
      </c>
      <c r="DG23">
        <f>ROUND(ROUND(AF23,2)*CX23,2)</f>
        <v>0</v>
      </c>
      <c r="DH23">
        <f t="shared" si="4"/>
        <v>0</v>
      </c>
      <c r="DI23">
        <f t="shared" si="5"/>
        <v>0</v>
      </c>
      <c r="DJ23">
        <f>DI23</f>
        <v>0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ROW(Source!A67)</f>
        <v>67</v>
      </c>
      <c r="B24">
        <v>65178645</v>
      </c>
      <c r="C24">
        <v>65178854</v>
      </c>
      <c r="D24">
        <v>64002400</v>
      </c>
      <c r="E24">
        <v>1</v>
      </c>
      <c r="F24">
        <v>1</v>
      </c>
      <c r="G24">
        <v>1</v>
      </c>
      <c r="H24">
        <v>2</v>
      </c>
      <c r="I24" t="s">
        <v>380</v>
      </c>
      <c r="J24" t="s">
        <v>381</v>
      </c>
      <c r="K24" t="s">
        <v>382</v>
      </c>
      <c r="L24">
        <v>1368</v>
      </c>
      <c r="N24">
        <v>1011</v>
      </c>
      <c r="O24" t="s">
        <v>378</v>
      </c>
      <c r="P24" t="s">
        <v>378</v>
      </c>
      <c r="Q24">
        <v>1</v>
      </c>
      <c r="W24">
        <v>0</v>
      </c>
      <c r="X24">
        <v>1032761012</v>
      </c>
      <c r="Y24">
        <f>AT24</f>
        <v>0.03</v>
      </c>
      <c r="AA24">
        <v>0</v>
      </c>
      <c r="AB24">
        <v>578.28</v>
      </c>
      <c r="AC24">
        <v>490.55</v>
      </c>
      <c r="AD24">
        <v>0</v>
      </c>
      <c r="AE24">
        <v>0</v>
      </c>
      <c r="AF24">
        <v>477.92</v>
      </c>
      <c r="AG24">
        <v>490.55</v>
      </c>
      <c r="AH24">
        <v>0</v>
      </c>
      <c r="AI24">
        <v>1</v>
      </c>
      <c r="AJ24">
        <v>1.21</v>
      </c>
      <c r="AK24">
        <v>1</v>
      </c>
      <c r="AL24">
        <v>1</v>
      </c>
      <c r="AM24">
        <v>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0.03</v>
      </c>
      <c r="AU24" t="s">
        <v>3</v>
      </c>
      <c r="AV24">
        <v>1</v>
      </c>
      <c r="AW24">
        <v>2</v>
      </c>
      <c r="AX24">
        <v>65179598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14.3376</v>
      </c>
      <c r="BL24">
        <v>14.7165</v>
      </c>
      <c r="BM24">
        <v>0</v>
      </c>
      <c r="BN24">
        <v>0</v>
      </c>
      <c r="BO24">
        <v>0.03</v>
      </c>
      <c r="BP24">
        <v>1</v>
      </c>
      <c r="BQ24">
        <v>0</v>
      </c>
      <c r="BR24">
        <v>14.3376</v>
      </c>
      <c r="BS24">
        <v>14.7165</v>
      </c>
      <c r="BT24">
        <v>0</v>
      </c>
      <c r="BU24">
        <v>0</v>
      </c>
      <c r="BV24">
        <v>0.03</v>
      </c>
      <c r="BW24">
        <v>1</v>
      </c>
      <c r="CV24">
        <v>0</v>
      </c>
      <c r="CW24">
        <f>ROUND(Y24*Source!I67*DO24,7)</f>
        <v>1.8</v>
      </c>
      <c r="CX24">
        <f>ROUND(Y24*Source!I67,7)</f>
        <v>1.8</v>
      </c>
      <c r="CY24">
        <f>AB24</f>
        <v>578.28</v>
      </c>
      <c r="CZ24">
        <f>AF24</f>
        <v>477.92</v>
      </c>
      <c r="DA24">
        <f>AJ24</f>
        <v>1.21</v>
      </c>
      <c r="DB24">
        <f>ROUND(ROUND(AT24*CZ24,2),6)</f>
        <v>14.34</v>
      </c>
      <c r="DC24">
        <f>ROUND(ROUND(AT24*AG24,2),6)</f>
        <v>14.72</v>
      </c>
      <c r="DD24" t="s">
        <v>3</v>
      </c>
      <c r="DE24" t="s">
        <v>3</v>
      </c>
      <c r="DF24">
        <f t="shared" si="3"/>
        <v>0</v>
      </c>
      <c r="DG24">
        <f>ROUND(ROUND(AF24*AJ24,2)*CX24,2)</f>
        <v>1040.9000000000001</v>
      </c>
      <c r="DH24">
        <f t="shared" si="4"/>
        <v>882.99</v>
      </c>
      <c r="DI24">
        <f t="shared" si="5"/>
        <v>0</v>
      </c>
      <c r="DJ24">
        <f>DG24+DH24</f>
        <v>1923.89</v>
      </c>
      <c r="DK24">
        <v>0</v>
      </c>
      <c r="DL24" t="s">
        <v>383</v>
      </c>
      <c r="DM24">
        <v>4</v>
      </c>
      <c r="DN24" t="s">
        <v>372</v>
      </c>
      <c r="DO24">
        <v>1</v>
      </c>
    </row>
    <row r="25" spans="1:119" x14ac:dyDescent="0.2">
      <c r="A25">
        <f>ROW(Source!A68)</f>
        <v>68</v>
      </c>
      <c r="B25">
        <v>65178645</v>
      </c>
      <c r="C25">
        <v>65178868</v>
      </c>
      <c r="D25">
        <v>37072767</v>
      </c>
      <c r="E25">
        <v>108</v>
      </c>
      <c r="F25">
        <v>1</v>
      </c>
      <c r="G25">
        <v>1</v>
      </c>
      <c r="H25">
        <v>1</v>
      </c>
      <c r="I25" t="s">
        <v>404</v>
      </c>
      <c r="J25" t="s">
        <v>3</v>
      </c>
      <c r="K25" t="s">
        <v>405</v>
      </c>
      <c r="L25">
        <v>1191</v>
      </c>
      <c r="N25">
        <v>1013</v>
      </c>
      <c r="O25" t="s">
        <v>372</v>
      </c>
      <c r="P25" t="s">
        <v>372</v>
      </c>
      <c r="Q25">
        <v>1</v>
      </c>
      <c r="W25">
        <v>0</v>
      </c>
      <c r="X25">
        <v>-1810713292</v>
      </c>
      <c r="Y25">
        <f>(AT25*ROUND(0.3,7))</f>
        <v>0.105</v>
      </c>
      <c r="AA25">
        <v>0</v>
      </c>
      <c r="AB25">
        <v>0</v>
      </c>
      <c r="AC25">
        <v>0</v>
      </c>
      <c r="AD25">
        <v>468.58</v>
      </c>
      <c r="AE25">
        <v>0</v>
      </c>
      <c r="AF25">
        <v>0</v>
      </c>
      <c r="AG25">
        <v>0</v>
      </c>
      <c r="AH25">
        <v>468.58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0.35</v>
      </c>
      <c r="AU25" t="s">
        <v>112</v>
      </c>
      <c r="AV25">
        <v>1</v>
      </c>
      <c r="AW25">
        <v>2</v>
      </c>
      <c r="AX25">
        <v>65178873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164.00299999999999</v>
      </c>
      <c r="BN25">
        <v>0.35</v>
      </c>
      <c r="BO25">
        <v>0</v>
      </c>
      <c r="BP25">
        <v>1</v>
      </c>
      <c r="BQ25">
        <v>0</v>
      </c>
      <c r="BR25">
        <v>0</v>
      </c>
      <c r="BS25">
        <v>0</v>
      </c>
      <c r="BT25">
        <v>49.200899999999997</v>
      </c>
      <c r="BU25">
        <v>0.105</v>
      </c>
      <c r="BV25">
        <v>0</v>
      </c>
      <c r="BW25">
        <v>1</v>
      </c>
      <c r="CU25">
        <f>ROUND(AT25*Source!I68*AH25*AL25,2)</f>
        <v>10496.19</v>
      </c>
      <c r="CV25">
        <f>ROUND(Y25*Source!I68,7)</f>
        <v>6.72</v>
      </c>
      <c r="CW25">
        <v>0</v>
      </c>
      <c r="CX25">
        <f>ROUND(Y25*Source!I68,7)</f>
        <v>6.72</v>
      </c>
      <c r="CY25">
        <f>AD25</f>
        <v>468.58</v>
      </c>
      <c r="CZ25">
        <f>AH25</f>
        <v>468.58</v>
      </c>
      <c r="DA25">
        <f>AL25</f>
        <v>1</v>
      </c>
      <c r="DB25">
        <f>ROUND((ROUND(AT25*CZ25,2)*ROUND(0.3,7)),6)</f>
        <v>49.2</v>
      </c>
      <c r="DC25">
        <f>ROUND((ROUND(AT25*AG25,2)*ROUND(0.3,7)),6)</f>
        <v>0</v>
      </c>
      <c r="DD25" t="s">
        <v>3</v>
      </c>
      <c r="DE25" t="s">
        <v>3</v>
      </c>
      <c r="DF25">
        <f t="shared" si="3"/>
        <v>0</v>
      </c>
      <c r="DG25">
        <f t="shared" ref="DG25:DG31" si="6">ROUND(ROUND(AF25,2)*CX25,2)</f>
        <v>0</v>
      </c>
      <c r="DH25">
        <f t="shared" si="4"/>
        <v>0</v>
      </c>
      <c r="DI25">
        <f t="shared" si="5"/>
        <v>3148.86</v>
      </c>
      <c r="DJ25">
        <f>DI25</f>
        <v>3148.86</v>
      </c>
      <c r="DK25">
        <v>1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ROW(Source!A68)</f>
        <v>68</v>
      </c>
      <c r="B26">
        <v>65178645</v>
      </c>
      <c r="C26">
        <v>65178868</v>
      </c>
      <c r="D26">
        <v>37064876</v>
      </c>
      <c r="E26">
        <v>108</v>
      </c>
      <c r="F26">
        <v>1</v>
      </c>
      <c r="G26">
        <v>1</v>
      </c>
      <c r="H26">
        <v>1</v>
      </c>
      <c r="I26" t="s">
        <v>373</v>
      </c>
      <c r="J26" t="s">
        <v>3</v>
      </c>
      <c r="K26" t="s">
        <v>374</v>
      </c>
      <c r="L26">
        <v>1191</v>
      </c>
      <c r="N26">
        <v>1013</v>
      </c>
      <c r="O26" t="s">
        <v>372</v>
      </c>
      <c r="P26" t="s">
        <v>372</v>
      </c>
      <c r="Q26">
        <v>1</v>
      </c>
      <c r="W26">
        <v>0</v>
      </c>
      <c r="X26">
        <v>-1417349443</v>
      </c>
      <c r="Y26">
        <f>(AT26*ROUND(0.3,7))</f>
        <v>4.4999999999999998E-2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0.15</v>
      </c>
      <c r="AU26" t="s">
        <v>112</v>
      </c>
      <c r="AV26">
        <v>2</v>
      </c>
      <c r="AW26">
        <v>2</v>
      </c>
      <c r="AX26">
        <v>65178874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ROUND(Y26*Source!I68,7)</f>
        <v>2.88</v>
      </c>
      <c r="CY26">
        <f>AD26</f>
        <v>0</v>
      </c>
      <c r="CZ26">
        <f>AH26</f>
        <v>0</v>
      </c>
      <c r="DA26">
        <f>AL26</f>
        <v>1</v>
      </c>
      <c r="DB26">
        <f>ROUND((ROUND(AT26*CZ26,2)*ROUND(0.3,7)),6)</f>
        <v>0</v>
      </c>
      <c r="DC26">
        <f>ROUND((ROUND(AT26*AG26,2)*ROUND(0.3,7)),6)</f>
        <v>0</v>
      </c>
      <c r="DD26" t="s">
        <v>3</v>
      </c>
      <c r="DE26" t="s">
        <v>3</v>
      </c>
      <c r="DF26">
        <f t="shared" si="3"/>
        <v>0</v>
      </c>
      <c r="DG26">
        <f t="shared" si="6"/>
        <v>0</v>
      </c>
      <c r="DH26">
        <f t="shared" si="4"/>
        <v>0</v>
      </c>
      <c r="DI26">
        <f t="shared" si="5"/>
        <v>0</v>
      </c>
      <c r="DJ26">
        <f>DI26</f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ROW(Source!A68)</f>
        <v>68</v>
      </c>
      <c r="B27">
        <v>65178645</v>
      </c>
      <c r="C27">
        <v>65178868</v>
      </c>
      <c r="D27">
        <v>56571417</v>
      </c>
      <c r="E27">
        <v>1</v>
      </c>
      <c r="F27">
        <v>1</v>
      </c>
      <c r="G27">
        <v>1</v>
      </c>
      <c r="H27">
        <v>2</v>
      </c>
      <c r="I27" t="s">
        <v>386</v>
      </c>
      <c r="J27" t="s">
        <v>387</v>
      </c>
      <c r="K27" t="s">
        <v>388</v>
      </c>
      <c r="L27">
        <v>1368</v>
      </c>
      <c r="N27">
        <v>1011</v>
      </c>
      <c r="O27" t="s">
        <v>378</v>
      </c>
      <c r="P27" t="s">
        <v>378</v>
      </c>
      <c r="Q27">
        <v>1</v>
      </c>
      <c r="W27">
        <v>0</v>
      </c>
      <c r="X27">
        <v>-848025172</v>
      </c>
      <c r="Y27">
        <f>(AT27*ROUND(0.3,7))</f>
        <v>4.4999999999999998E-2</v>
      </c>
      <c r="AA27">
        <v>0</v>
      </c>
      <c r="AB27">
        <v>1551.19</v>
      </c>
      <c r="AC27">
        <v>658.94</v>
      </c>
      <c r="AD27">
        <v>0</v>
      </c>
      <c r="AE27">
        <v>0</v>
      </c>
      <c r="AF27">
        <v>1551.19</v>
      </c>
      <c r="AG27">
        <v>658.94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0.15</v>
      </c>
      <c r="AU27" t="s">
        <v>112</v>
      </c>
      <c r="AV27">
        <v>1</v>
      </c>
      <c r="AW27">
        <v>2</v>
      </c>
      <c r="AX27">
        <v>65178875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232.67849999999999</v>
      </c>
      <c r="BL27">
        <v>98.841000000000008</v>
      </c>
      <c r="BM27">
        <v>0</v>
      </c>
      <c r="BN27">
        <v>0</v>
      </c>
      <c r="BO27">
        <v>0.15</v>
      </c>
      <c r="BP27">
        <v>1</v>
      </c>
      <c r="BQ27">
        <v>0</v>
      </c>
      <c r="BR27">
        <v>69.803550000000001</v>
      </c>
      <c r="BS27">
        <v>29.6523</v>
      </c>
      <c r="BT27">
        <v>0</v>
      </c>
      <c r="BU27">
        <v>0</v>
      </c>
      <c r="BV27">
        <v>4.4999999999999998E-2</v>
      </c>
      <c r="BW27">
        <v>1</v>
      </c>
      <c r="CV27">
        <v>0</v>
      </c>
      <c r="CW27">
        <f>ROUND(Y27*Source!I68*DO27,7)</f>
        <v>2.88</v>
      </c>
      <c r="CX27">
        <f>ROUND(Y27*Source!I68,7)</f>
        <v>2.88</v>
      </c>
      <c r="CY27">
        <f>AB27</f>
        <v>1551.19</v>
      </c>
      <c r="CZ27">
        <f>AF27</f>
        <v>1551.19</v>
      </c>
      <c r="DA27">
        <f>AJ27</f>
        <v>1</v>
      </c>
      <c r="DB27">
        <f>ROUND((ROUND(AT27*CZ27,2)*ROUND(0.3,7)),6)</f>
        <v>69.804000000000002</v>
      </c>
      <c r="DC27">
        <f>ROUND((ROUND(AT27*AG27,2)*ROUND(0.3,7)),6)</f>
        <v>29.652000000000001</v>
      </c>
      <c r="DD27" t="s">
        <v>3</v>
      </c>
      <c r="DE27" t="s">
        <v>3</v>
      </c>
      <c r="DF27">
        <f t="shared" si="3"/>
        <v>0</v>
      </c>
      <c r="DG27">
        <f t="shared" si="6"/>
        <v>4467.43</v>
      </c>
      <c r="DH27">
        <f t="shared" si="4"/>
        <v>1897.75</v>
      </c>
      <c r="DI27">
        <f t="shared" si="5"/>
        <v>0</v>
      </c>
      <c r="DJ27">
        <f>DG27+DH27</f>
        <v>6365.18</v>
      </c>
      <c r="DK27">
        <v>1</v>
      </c>
      <c r="DL27" t="s">
        <v>389</v>
      </c>
      <c r="DM27">
        <v>6</v>
      </c>
      <c r="DN27" t="s">
        <v>372</v>
      </c>
      <c r="DO27">
        <v>1</v>
      </c>
    </row>
    <row r="28" spans="1:119" x14ac:dyDescent="0.2">
      <c r="A28">
        <f>ROW(Source!A68)</f>
        <v>68</v>
      </c>
      <c r="B28">
        <v>65178645</v>
      </c>
      <c r="C28">
        <v>65178868</v>
      </c>
      <c r="D28">
        <v>56223463</v>
      </c>
      <c r="E28">
        <v>108</v>
      </c>
      <c r="F28">
        <v>1</v>
      </c>
      <c r="G28">
        <v>1</v>
      </c>
      <c r="H28">
        <v>3</v>
      </c>
      <c r="I28" t="s">
        <v>406</v>
      </c>
      <c r="J28" t="s">
        <v>3</v>
      </c>
      <c r="K28" t="s">
        <v>407</v>
      </c>
      <c r="L28">
        <v>3277935</v>
      </c>
      <c r="N28">
        <v>1013</v>
      </c>
      <c r="O28" t="s">
        <v>408</v>
      </c>
      <c r="P28" t="s">
        <v>408</v>
      </c>
      <c r="Q28">
        <v>1</v>
      </c>
      <c r="W28">
        <v>0</v>
      </c>
      <c r="X28">
        <v>274903907</v>
      </c>
      <c r="Y28">
        <f>AT28</f>
        <v>2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0</v>
      </c>
      <c r="AP28">
        <v>0</v>
      </c>
      <c r="AQ28">
        <v>1</v>
      </c>
      <c r="AR28">
        <v>0</v>
      </c>
      <c r="AS28" t="s">
        <v>3</v>
      </c>
      <c r="AT28">
        <v>2</v>
      </c>
      <c r="AU28" t="s">
        <v>3</v>
      </c>
      <c r="AV28">
        <v>0</v>
      </c>
      <c r="AW28">
        <v>2</v>
      </c>
      <c r="AX28">
        <v>65178876</v>
      </c>
      <c r="AY28">
        <v>1</v>
      </c>
      <c r="AZ28">
        <v>2048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ROUND(Y28*Source!I68,7)</f>
        <v>128</v>
      </c>
      <c r="CY28">
        <f>AA28</f>
        <v>0</v>
      </c>
      <c r="CZ28">
        <f>AE28</f>
        <v>0</v>
      </c>
      <c r="DA28">
        <f>AI28</f>
        <v>1</v>
      </c>
      <c r="DB28">
        <f>ROUND(ROUND(AT28*CZ28,2),6)</f>
        <v>0</v>
      </c>
      <c r="DC28">
        <f>ROUND(ROUND(AT28*AG28,2),6)</f>
        <v>0</v>
      </c>
      <c r="DD28" t="s">
        <v>3</v>
      </c>
      <c r="DE28" t="s">
        <v>3</v>
      </c>
      <c r="DF28">
        <f t="shared" si="3"/>
        <v>0</v>
      </c>
      <c r="DG28">
        <f t="shared" si="6"/>
        <v>0</v>
      </c>
      <c r="DH28">
        <f t="shared" si="4"/>
        <v>0</v>
      </c>
      <c r="DI28">
        <f t="shared" si="5"/>
        <v>0</v>
      </c>
      <c r="DJ28">
        <f>DF28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ROW(Source!A69)</f>
        <v>69</v>
      </c>
      <c r="B29">
        <v>65178645</v>
      </c>
      <c r="C29">
        <v>65178877</v>
      </c>
      <c r="D29">
        <v>37071037</v>
      </c>
      <c r="E29">
        <v>108</v>
      </c>
      <c r="F29">
        <v>1</v>
      </c>
      <c r="G29">
        <v>1</v>
      </c>
      <c r="H29">
        <v>1</v>
      </c>
      <c r="I29" t="s">
        <v>409</v>
      </c>
      <c r="J29" t="s">
        <v>3</v>
      </c>
      <c r="K29" t="s">
        <v>410</v>
      </c>
      <c r="L29">
        <v>1191</v>
      </c>
      <c r="N29">
        <v>1013</v>
      </c>
      <c r="O29" t="s">
        <v>372</v>
      </c>
      <c r="P29" t="s">
        <v>372</v>
      </c>
      <c r="Q29">
        <v>1</v>
      </c>
      <c r="W29">
        <v>0</v>
      </c>
      <c r="X29">
        <v>-1111239348</v>
      </c>
      <c r="Y29">
        <f>(AT29*ROUND(0.3,7))</f>
        <v>0.12</v>
      </c>
      <c r="AA29">
        <v>0</v>
      </c>
      <c r="AB29">
        <v>0</v>
      </c>
      <c r="AC29">
        <v>0</v>
      </c>
      <c r="AD29">
        <v>490.55</v>
      </c>
      <c r="AE29">
        <v>0</v>
      </c>
      <c r="AF29">
        <v>0</v>
      </c>
      <c r="AG29">
        <v>0</v>
      </c>
      <c r="AH29">
        <v>490.55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0.4</v>
      </c>
      <c r="AU29" t="s">
        <v>112</v>
      </c>
      <c r="AV29">
        <v>1</v>
      </c>
      <c r="AW29">
        <v>2</v>
      </c>
      <c r="AX29">
        <v>65178884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196.22000000000003</v>
      </c>
      <c r="BN29">
        <v>0.4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58.866</v>
      </c>
      <c r="BU29">
        <v>0.12</v>
      </c>
      <c r="BV29">
        <v>0</v>
      </c>
      <c r="BW29">
        <v>1</v>
      </c>
      <c r="CU29">
        <f>ROUND(AT29*Source!I69*AH29*AL29,2)</f>
        <v>37674.239999999998</v>
      </c>
      <c r="CV29">
        <f>ROUND(Y29*Source!I69,7)</f>
        <v>23.04</v>
      </c>
      <c r="CW29">
        <v>0</v>
      </c>
      <c r="CX29">
        <f>ROUND(Y29*Source!I69,7)</f>
        <v>23.04</v>
      </c>
      <c r="CY29">
        <f>AD29</f>
        <v>490.55</v>
      </c>
      <c r="CZ29">
        <f>AH29</f>
        <v>490.55</v>
      </c>
      <c r="DA29">
        <f>AL29</f>
        <v>1</v>
      </c>
      <c r="DB29">
        <f>ROUND((ROUND(AT29*CZ29,2)*ROUND(0.3,7)),6)</f>
        <v>58.866</v>
      </c>
      <c r="DC29">
        <f>ROUND((ROUND(AT29*AG29,2)*ROUND(0.3,7)),6)</f>
        <v>0</v>
      </c>
      <c r="DD29" t="s">
        <v>3</v>
      </c>
      <c r="DE29" t="s">
        <v>3</v>
      </c>
      <c r="DF29">
        <f t="shared" si="3"/>
        <v>0</v>
      </c>
      <c r="DG29">
        <f t="shared" si="6"/>
        <v>0</v>
      </c>
      <c r="DH29">
        <f t="shared" si="4"/>
        <v>0</v>
      </c>
      <c r="DI29">
        <f t="shared" si="5"/>
        <v>11302.27</v>
      </c>
      <c r="DJ29">
        <f>DI29</f>
        <v>11302.27</v>
      </c>
      <c r="DK29">
        <v>1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ROW(Source!A69)</f>
        <v>69</v>
      </c>
      <c r="B30">
        <v>65178645</v>
      </c>
      <c r="C30">
        <v>65178877</v>
      </c>
      <c r="D30">
        <v>37064876</v>
      </c>
      <c r="E30">
        <v>108</v>
      </c>
      <c r="F30">
        <v>1</v>
      </c>
      <c r="G30">
        <v>1</v>
      </c>
      <c r="H30">
        <v>1</v>
      </c>
      <c r="I30" t="s">
        <v>373</v>
      </c>
      <c r="J30" t="s">
        <v>3</v>
      </c>
      <c r="K30" t="s">
        <v>374</v>
      </c>
      <c r="L30">
        <v>1191</v>
      </c>
      <c r="N30">
        <v>1013</v>
      </c>
      <c r="O30" t="s">
        <v>372</v>
      </c>
      <c r="P30" t="s">
        <v>372</v>
      </c>
      <c r="Q30">
        <v>1</v>
      </c>
      <c r="W30">
        <v>0</v>
      </c>
      <c r="X30">
        <v>-1417349443</v>
      </c>
      <c r="Y30">
        <f>(AT30*ROUND(0.3,7))</f>
        <v>3.0000000000000001E-3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3</v>
      </c>
      <c r="AT30">
        <v>0.01</v>
      </c>
      <c r="AU30" t="s">
        <v>112</v>
      </c>
      <c r="AV30">
        <v>2</v>
      </c>
      <c r="AW30">
        <v>2</v>
      </c>
      <c r="AX30">
        <v>65178885</v>
      </c>
      <c r="AY30">
        <v>1</v>
      </c>
      <c r="AZ30">
        <v>0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ROUND(Y30*Source!I69,7)</f>
        <v>0.57599999999999996</v>
      </c>
      <c r="CY30">
        <f>AD30</f>
        <v>0</v>
      </c>
      <c r="CZ30">
        <f>AH30</f>
        <v>0</v>
      </c>
      <c r="DA30">
        <f>AL30</f>
        <v>1</v>
      </c>
      <c r="DB30">
        <f>ROUND((ROUND(AT30*CZ30,2)*ROUND(0.3,7)),6)</f>
        <v>0</v>
      </c>
      <c r="DC30">
        <f>ROUND((ROUND(AT30*AG30,2)*ROUND(0.3,7)),6)</f>
        <v>0</v>
      </c>
      <c r="DD30" t="s">
        <v>3</v>
      </c>
      <c r="DE30" t="s">
        <v>3</v>
      </c>
      <c r="DF30">
        <f t="shared" si="3"/>
        <v>0</v>
      </c>
      <c r="DG30">
        <f t="shared" si="6"/>
        <v>0</v>
      </c>
      <c r="DH30">
        <f t="shared" si="4"/>
        <v>0</v>
      </c>
      <c r="DI30">
        <f t="shared" si="5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ROW(Source!A69)</f>
        <v>69</v>
      </c>
      <c r="B31">
        <v>65178645</v>
      </c>
      <c r="C31">
        <v>65178877</v>
      </c>
      <c r="D31">
        <v>56571417</v>
      </c>
      <c r="E31">
        <v>1</v>
      </c>
      <c r="F31">
        <v>1</v>
      </c>
      <c r="G31">
        <v>1</v>
      </c>
      <c r="H31">
        <v>2</v>
      </c>
      <c r="I31" t="s">
        <v>386</v>
      </c>
      <c r="J31" t="s">
        <v>387</v>
      </c>
      <c r="K31" t="s">
        <v>388</v>
      </c>
      <c r="L31">
        <v>1368</v>
      </c>
      <c r="N31">
        <v>1011</v>
      </c>
      <c r="O31" t="s">
        <v>378</v>
      </c>
      <c r="P31" t="s">
        <v>378</v>
      </c>
      <c r="Q31">
        <v>1</v>
      </c>
      <c r="W31">
        <v>0</v>
      </c>
      <c r="X31">
        <v>-848025172</v>
      </c>
      <c r="Y31">
        <f>(AT31*ROUND(0.3,7))</f>
        <v>2.0999999999999999E-3</v>
      </c>
      <c r="AA31">
        <v>0</v>
      </c>
      <c r="AB31">
        <v>1551.19</v>
      </c>
      <c r="AC31">
        <v>658.94</v>
      </c>
      <c r="AD31">
        <v>0</v>
      </c>
      <c r="AE31">
        <v>0</v>
      </c>
      <c r="AF31">
        <v>1551.19</v>
      </c>
      <c r="AG31">
        <v>658.94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3</v>
      </c>
      <c r="AT31">
        <v>7.0000000000000001E-3</v>
      </c>
      <c r="AU31" t="s">
        <v>112</v>
      </c>
      <c r="AV31">
        <v>1</v>
      </c>
      <c r="AW31">
        <v>2</v>
      </c>
      <c r="AX31">
        <v>65178886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10.85833</v>
      </c>
      <c r="BL31">
        <v>4.6125800000000003</v>
      </c>
      <c r="BM31">
        <v>0</v>
      </c>
      <c r="BN31">
        <v>0</v>
      </c>
      <c r="BO31">
        <v>7.0000000000000001E-3</v>
      </c>
      <c r="BP31">
        <v>1</v>
      </c>
      <c r="BQ31">
        <v>0</v>
      </c>
      <c r="BR31">
        <v>3.2574989999999997</v>
      </c>
      <c r="BS31">
        <v>1.3837740000000001</v>
      </c>
      <c r="BT31">
        <v>0</v>
      </c>
      <c r="BU31">
        <v>0</v>
      </c>
      <c r="BV31">
        <v>2.0999999999999999E-3</v>
      </c>
      <c r="BW31">
        <v>1</v>
      </c>
      <c r="CV31">
        <v>0</v>
      </c>
      <c r="CW31">
        <f>ROUND(Y31*Source!I69*DO31,7)</f>
        <v>0.4032</v>
      </c>
      <c r="CX31">
        <f>ROUND(Y31*Source!I69,7)</f>
        <v>0.4032</v>
      </c>
      <c r="CY31">
        <f>AB31</f>
        <v>1551.19</v>
      </c>
      <c r="CZ31">
        <f>AF31</f>
        <v>1551.19</v>
      </c>
      <c r="DA31">
        <f>AJ31</f>
        <v>1</v>
      </c>
      <c r="DB31">
        <f>ROUND((ROUND(AT31*CZ31,2)*ROUND(0.3,7)),6)</f>
        <v>3.258</v>
      </c>
      <c r="DC31">
        <f>ROUND((ROUND(AT31*AG31,2)*ROUND(0.3,7)),6)</f>
        <v>1.383</v>
      </c>
      <c r="DD31" t="s">
        <v>3</v>
      </c>
      <c r="DE31" t="s">
        <v>3</v>
      </c>
      <c r="DF31">
        <f t="shared" si="3"/>
        <v>0</v>
      </c>
      <c r="DG31">
        <f t="shared" si="6"/>
        <v>625.44000000000005</v>
      </c>
      <c r="DH31">
        <f t="shared" si="4"/>
        <v>265.68</v>
      </c>
      <c r="DI31">
        <f t="shared" si="5"/>
        <v>0</v>
      </c>
      <c r="DJ31">
        <f>DG31+DH31</f>
        <v>891.12000000000012</v>
      </c>
      <c r="DK31">
        <v>1</v>
      </c>
      <c r="DL31" t="s">
        <v>389</v>
      </c>
      <c r="DM31">
        <v>6</v>
      </c>
      <c r="DN31" t="s">
        <v>372</v>
      </c>
      <c r="DO31">
        <v>1</v>
      </c>
    </row>
    <row r="32" spans="1:119" x14ac:dyDescent="0.2">
      <c r="A32">
        <f>ROW(Source!A69)</f>
        <v>69</v>
      </c>
      <c r="B32">
        <v>65178645</v>
      </c>
      <c r="C32">
        <v>65178877</v>
      </c>
      <c r="D32">
        <v>56572833</v>
      </c>
      <c r="E32">
        <v>1</v>
      </c>
      <c r="F32">
        <v>1</v>
      </c>
      <c r="G32">
        <v>1</v>
      </c>
      <c r="H32">
        <v>2</v>
      </c>
      <c r="I32" t="s">
        <v>380</v>
      </c>
      <c r="J32" t="s">
        <v>381</v>
      </c>
      <c r="K32" t="s">
        <v>382</v>
      </c>
      <c r="L32">
        <v>1368</v>
      </c>
      <c r="N32">
        <v>1011</v>
      </c>
      <c r="O32" t="s">
        <v>378</v>
      </c>
      <c r="P32" t="s">
        <v>378</v>
      </c>
      <c r="Q32">
        <v>1</v>
      </c>
      <c r="W32">
        <v>0</v>
      </c>
      <c r="X32">
        <v>1230426758</v>
      </c>
      <c r="Y32">
        <f>(AT32*ROUND(0.3,7))</f>
        <v>2.0999999999999999E-3</v>
      </c>
      <c r="AA32">
        <v>0</v>
      </c>
      <c r="AB32">
        <v>578.28</v>
      </c>
      <c r="AC32">
        <v>490.55</v>
      </c>
      <c r="AD32">
        <v>0</v>
      </c>
      <c r="AE32">
        <v>0</v>
      </c>
      <c r="AF32">
        <v>477.92</v>
      </c>
      <c r="AG32">
        <v>490.55</v>
      </c>
      <c r="AH32">
        <v>0</v>
      </c>
      <c r="AI32">
        <v>1</v>
      </c>
      <c r="AJ32">
        <v>1.21</v>
      </c>
      <c r="AK32">
        <v>1</v>
      </c>
      <c r="AL32">
        <v>1</v>
      </c>
      <c r="AM32">
        <v>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7.0000000000000001E-3</v>
      </c>
      <c r="AU32" t="s">
        <v>112</v>
      </c>
      <c r="AV32">
        <v>1</v>
      </c>
      <c r="AW32">
        <v>2</v>
      </c>
      <c r="AX32">
        <v>65178887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3.34544</v>
      </c>
      <c r="BL32">
        <v>3.4338500000000001</v>
      </c>
      <c r="BM32">
        <v>0</v>
      </c>
      <c r="BN32">
        <v>0</v>
      </c>
      <c r="BO32">
        <v>7.0000000000000001E-3</v>
      </c>
      <c r="BP32">
        <v>1</v>
      </c>
      <c r="BQ32">
        <v>0</v>
      </c>
      <c r="BR32">
        <v>1.0036320000000001</v>
      </c>
      <c r="BS32">
        <v>1.0301549999999999</v>
      </c>
      <c r="BT32">
        <v>0</v>
      </c>
      <c r="BU32">
        <v>0</v>
      </c>
      <c r="BV32">
        <v>2.0999999999999999E-3</v>
      </c>
      <c r="BW32">
        <v>1</v>
      </c>
      <c r="CV32">
        <v>0</v>
      </c>
      <c r="CW32">
        <f>ROUND(Y32*Source!I69*DO32,7)</f>
        <v>0.4032</v>
      </c>
      <c r="CX32">
        <f>ROUND(Y32*Source!I69,7)</f>
        <v>0.4032</v>
      </c>
      <c r="CY32">
        <f>AB32</f>
        <v>578.28</v>
      </c>
      <c r="CZ32">
        <f>AF32</f>
        <v>477.92</v>
      </c>
      <c r="DA32">
        <f>AJ32</f>
        <v>1.21</v>
      </c>
      <c r="DB32">
        <f>ROUND((ROUND(AT32*CZ32,2)*ROUND(0.3,7)),6)</f>
        <v>1.0049999999999999</v>
      </c>
      <c r="DC32">
        <f>ROUND((ROUND(AT32*AG32,2)*ROUND(0.3,7)),6)</f>
        <v>1.0289999999999999</v>
      </c>
      <c r="DD32" t="s">
        <v>3</v>
      </c>
      <c r="DE32" t="s">
        <v>3</v>
      </c>
      <c r="DF32">
        <f t="shared" si="3"/>
        <v>0</v>
      </c>
      <c r="DG32">
        <f>ROUND(ROUND(AF32*AJ32,2)*CX32,2)</f>
        <v>233.16</v>
      </c>
      <c r="DH32">
        <f t="shared" si="4"/>
        <v>197.79</v>
      </c>
      <c r="DI32">
        <f t="shared" si="5"/>
        <v>0</v>
      </c>
      <c r="DJ32">
        <f>DG32+DH32</f>
        <v>430.95</v>
      </c>
      <c r="DK32">
        <v>0</v>
      </c>
      <c r="DL32" t="s">
        <v>383</v>
      </c>
      <c r="DM32">
        <v>4</v>
      </c>
      <c r="DN32" t="s">
        <v>372</v>
      </c>
      <c r="DO32">
        <v>1</v>
      </c>
    </row>
    <row r="33" spans="1:119" x14ac:dyDescent="0.2">
      <c r="A33">
        <f>ROW(Source!A69)</f>
        <v>69</v>
      </c>
      <c r="B33">
        <v>65178645</v>
      </c>
      <c r="C33">
        <v>65178877</v>
      </c>
      <c r="D33">
        <v>56580368</v>
      </c>
      <c r="E33">
        <v>1</v>
      </c>
      <c r="F33">
        <v>1</v>
      </c>
      <c r="G33">
        <v>1</v>
      </c>
      <c r="H33">
        <v>3</v>
      </c>
      <c r="I33" t="s">
        <v>411</v>
      </c>
      <c r="J33" t="s">
        <v>412</v>
      </c>
      <c r="K33" t="s">
        <v>413</v>
      </c>
      <c r="L33">
        <v>1346</v>
      </c>
      <c r="N33">
        <v>1009</v>
      </c>
      <c r="O33" t="s">
        <v>253</v>
      </c>
      <c r="P33" t="s">
        <v>253</v>
      </c>
      <c r="Q33">
        <v>1</v>
      </c>
      <c r="W33">
        <v>0</v>
      </c>
      <c r="X33">
        <v>-385218612</v>
      </c>
      <c r="Y33">
        <f>(AT33*ROUND(0,7))</f>
        <v>0</v>
      </c>
      <c r="AA33">
        <v>201.17</v>
      </c>
      <c r="AB33">
        <v>0</v>
      </c>
      <c r="AC33">
        <v>0</v>
      </c>
      <c r="AD33">
        <v>0</v>
      </c>
      <c r="AE33">
        <v>174.93</v>
      </c>
      <c r="AF33">
        <v>0</v>
      </c>
      <c r="AG33">
        <v>0</v>
      </c>
      <c r="AH33">
        <v>0</v>
      </c>
      <c r="AI33">
        <v>1.1499999999999999</v>
      </c>
      <c r="AJ33">
        <v>1</v>
      </c>
      <c r="AK33">
        <v>1</v>
      </c>
      <c r="AL33">
        <v>1</v>
      </c>
      <c r="AM33">
        <v>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0.08</v>
      </c>
      <c r="AU33" t="s">
        <v>111</v>
      </c>
      <c r="AV33">
        <v>0</v>
      </c>
      <c r="AW33">
        <v>2</v>
      </c>
      <c r="AX33">
        <v>65178888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13.994400000000001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1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ROUND(Y33*Source!I69,7)</f>
        <v>0</v>
      </c>
      <c r="CY33">
        <f>AA33</f>
        <v>201.17</v>
      </c>
      <c r="CZ33">
        <f>AE33</f>
        <v>174.93</v>
      </c>
      <c r="DA33">
        <f>AI33</f>
        <v>1.1499999999999999</v>
      </c>
      <c r="DB33">
        <f>ROUND((ROUND(AT33*CZ33,2)*ROUND(0,7)),6)</f>
        <v>0</v>
      </c>
      <c r="DC33">
        <f>ROUND((ROUND(AT33*AG33,2)*ROUND(0,7)),6)</f>
        <v>0</v>
      </c>
      <c r="DD33" t="s">
        <v>3</v>
      </c>
      <c r="DE33" t="s">
        <v>3</v>
      </c>
      <c r="DF33">
        <f>ROUND(ROUND(AE33*AI33,2)*CX33,2)</f>
        <v>0</v>
      </c>
      <c r="DG33">
        <f>ROUND(ROUND(AF33,2)*CX33,2)</f>
        <v>0</v>
      </c>
      <c r="DH33">
        <f t="shared" ref="DH33:DH64" si="7">ROUND(ROUND(AG33,2)*CX33,2)</f>
        <v>0</v>
      </c>
      <c r="DI33">
        <f t="shared" ref="DI33:DI64" si="8">ROUND(ROUND(AH33,2)*CX33,2)</f>
        <v>0</v>
      </c>
      <c r="DJ33">
        <f>DF33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ROW(Source!A69)</f>
        <v>69</v>
      </c>
      <c r="B34">
        <v>65178645</v>
      </c>
      <c r="C34">
        <v>65178877</v>
      </c>
      <c r="D34">
        <v>56223463</v>
      </c>
      <c r="E34">
        <v>108</v>
      </c>
      <c r="F34">
        <v>1</v>
      </c>
      <c r="G34">
        <v>1</v>
      </c>
      <c r="H34">
        <v>3</v>
      </c>
      <c r="I34" t="s">
        <v>406</v>
      </c>
      <c r="J34" t="s">
        <v>3</v>
      </c>
      <c r="K34" t="s">
        <v>407</v>
      </c>
      <c r="L34">
        <v>3277935</v>
      </c>
      <c r="N34">
        <v>1013</v>
      </c>
      <c r="O34" t="s">
        <v>408</v>
      </c>
      <c r="P34" t="s">
        <v>408</v>
      </c>
      <c r="Q34">
        <v>1</v>
      </c>
      <c r="W34">
        <v>0</v>
      </c>
      <c r="X34">
        <v>274903907</v>
      </c>
      <c r="Y34">
        <f>AT34</f>
        <v>2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0</v>
      </c>
      <c r="AP34">
        <v>0</v>
      </c>
      <c r="AQ34">
        <v>1</v>
      </c>
      <c r="AR34">
        <v>0</v>
      </c>
      <c r="AS34" t="s">
        <v>3</v>
      </c>
      <c r="AT34">
        <v>2</v>
      </c>
      <c r="AU34" t="s">
        <v>3</v>
      </c>
      <c r="AV34">
        <v>0</v>
      </c>
      <c r="AW34">
        <v>2</v>
      </c>
      <c r="AX34">
        <v>65178889</v>
      </c>
      <c r="AY34">
        <v>1</v>
      </c>
      <c r="AZ34">
        <v>2048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ROUND(Y34*Source!I69,7)</f>
        <v>384</v>
      </c>
      <c r="CY34">
        <f>AA34</f>
        <v>0</v>
      </c>
      <c r="CZ34">
        <f>AE34</f>
        <v>0</v>
      </c>
      <c r="DA34">
        <f>AI34</f>
        <v>1</v>
      </c>
      <c r="DB34">
        <f>ROUND(ROUND(AT34*CZ34,2),6)</f>
        <v>0</v>
      </c>
      <c r="DC34">
        <f>ROUND(ROUND(AT34*AG34,2),6)</f>
        <v>0</v>
      </c>
      <c r="DD34" t="s">
        <v>3</v>
      </c>
      <c r="DE34" t="s">
        <v>3</v>
      </c>
      <c r="DF34">
        <f t="shared" ref="DF34:DF39" si="9">ROUND(ROUND(AE34,2)*CX34,2)</f>
        <v>0</v>
      </c>
      <c r="DG34">
        <f>ROUND(ROUND(AF34,2)*CX34,2)</f>
        <v>0</v>
      </c>
      <c r="DH34">
        <f t="shared" si="7"/>
        <v>0</v>
      </c>
      <c r="DI34">
        <f t="shared" si="8"/>
        <v>0</v>
      </c>
      <c r="DJ34">
        <f>DF34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ROW(Source!A70)</f>
        <v>70</v>
      </c>
      <c r="B35">
        <v>65178645</v>
      </c>
      <c r="C35">
        <v>65178890</v>
      </c>
      <c r="D35">
        <v>37077359</v>
      </c>
      <c r="E35">
        <v>108</v>
      </c>
      <c r="F35">
        <v>1</v>
      </c>
      <c r="G35">
        <v>1</v>
      </c>
      <c r="H35">
        <v>1</v>
      </c>
      <c r="I35" t="s">
        <v>414</v>
      </c>
      <c r="J35" t="s">
        <v>3</v>
      </c>
      <c r="K35" t="s">
        <v>415</v>
      </c>
      <c r="L35">
        <v>1191</v>
      </c>
      <c r="N35">
        <v>1013</v>
      </c>
      <c r="O35" t="s">
        <v>372</v>
      </c>
      <c r="P35" t="s">
        <v>372</v>
      </c>
      <c r="Q35">
        <v>1</v>
      </c>
      <c r="W35">
        <v>0</v>
      </c>
      <c r="X35">
        <v>432497713</v>
      </c>
      <c r="Y35">
        <f>(AT35*ROUND(0.3,7))</f>
        <v>1.2809999999999999</v>
      </c>
      <c r="AA35">
        <v>0</v>
      </c>
      <c r="AB35">
        <v>0</v>
      </c>
      <c r="AC35">
        <v>0</v>
      </c>
      <c r="AD35">
        <v>534.48</v>
      </c>
      <c r="AE35">
        <v>0</v>
      </c>
      <c r="AF35">
        <v>0</v>
      </c>
      <c r="AG35">
        <v>0</v>
      </c>
      <c r="AH35">
        <v>534.48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4.2699999999999996</v>
      </c>
      <c r="AU35" t="s">
        <v>112</v>
      </c>
      <c r="AV35">
        <v>1</v>
      </c>
      <c r="AW35">
        <v>2</v>
      </c>
      <c r="AX35">
        <v>65178902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2282.2295999999997</v>
      </c>
      <c r="BN35">
        <v>4.2699999999999996</v>
      </c>
      <c r="BO35">
        <v>0</v>
      </c>
      <c r="BP35">
        <v>1</v>
      </c>
      <c r="BQ35">
        <v>0</v>
      </c>
      <c r="BR35">
        <v>0</v>
      </c>
      <c r="BS35">
        <v>0</v>
      </c>
      <c r="BT35">
        <v>684.66887999999994</v>
      </c>
      <c r="BU35">
        <v>1.2809999999999999</v>
      </c>
      <c r="BV35">
        <v>0</v>
      </c>
      <c r="BW35">
        <v>1</v>
      </c>
      <c r="CU35">
        <f>ROUND(AT35*Source!I70*AH35*AL35,2)</f>
        <v>2282.23</v>
      </c>
      <c r="CV35">
        <f>ROUND(Y35*Source!I70,7)</f>
        <v>1.2809999999999999</v>
      </c>
      <c r="CW35">
        <v>0</v>
      </c>
      <c r="CX35">
        <f>ROUND(Y35*Source!I70,7)</f>
        <v>1.2809999999999999</v>
      </c>
      <c r="CY35">
        <f>AD35</f>
        <v>534.48</v>
      </c>
      <c r="CZ35">
        <f>AH35</f>
        <v>534.48</v>
      </c>
      <c r="DA35">
        <f>AL35</f>
        <v>1</v>
      </c>
      <c r="DB35">
        <f>ROUND((ROUND(AT35*CZ35,2)*ROUND(0.3,7)),6)</f>
        <v>684.66899999999998</v>
      </c>
      <c r="DC35">
        <f>ROUND((ROUND(AT35*AG35,2)*ROUND(0.3,7)),6)</f>
        <v>0</v>
      </c>
      <c r="DD35" t="s">
        <v>3</v>
      </c>
      <c r="DE35" t="s">
        <v>3</v>
      </c>
      <c r="DF35">
        <f t="shared" si="9"/>
        <v>0</v>
      </c>
      <c r="DG35">
        <f>ROUND(ROUND(AF35,2)*CX35,2)</f>
        <v>0</v>
      </c>
      <c r="DH35">
        <f t="shared" si="7"/>
        <v>0</v>
      </c>
      <c r="DI35">
        <f t="shared" si="8"/>
        <v>684.67</v>
      </c>
      <c r="DJ35">
        <f>DI35</f>
        <v>684.67</v>
      </c>
      <c r="DK35">
        <v>1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ROW(Source!A70)</f>
        <v>70</v>
      </c>
      <c r="B36">
        <v>65178645</v>
      </c>
      <c r="C36">
        <v>65178890</v>
      </c>
      <c r="D36">
        <v>37064876</v>
      </c>
      <c r="E36">
        <v>108</v>
      </c>
      <c r="F36">
        <v>1</v>
      </c>
      <c r="G36">
        <v>1</v>
      </c>
      <c r="H36">
        <v>1</v>
      </c>
      <c r="I36" t="s">
        <v>373</v>
      </c>
      <c r="J36" t="s">
        <v>3</v>
      </c>
      <c r="K36" t="s">
        <v>374</v>
      </c>
      <c r="L36">
        <v>1191</v>
      </c>
      <c r="N36">
        <v>1013</v>
      </c>
      <c r="O36" t="s">
        <v>372</v>
      </c>
      <c r="P36" t="s">
        <v>372</v>
      </c>
      <c r="Q36">
        <v>1</v>
      </c>
      <c r="W36">
        <v>0</v>
      </c>
      <c r="X36">
        <v>-1417349443</v>
      </c>
      <c r="Y36">
        <f>(AT36*ROUND(0.3,7))</f>
        <v>1.119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3.73</v>
      </c>
      <c r="AU36" t="s">
        <v>112</v>
      </c>
      <c r="AV36">
        <v>2</v>
      </c>
      <c r="AW36">
        <v>2</v>
      </c>
      <c r="AX36">
        <v>65178903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ROUND(Y36*Source!I70,7)</f>
        <v>1.119</v>
      </c>
      <c r="CY36">
        <f>AD36</f>
        <v>0</v>
      </c>
      <c r="CZ36">
        <f>AH36</f>
        <v>0</v>
      </c>
      <c r="DA36">
        <f>AL36</f>
        <v>1</v>
      </c>
      <c r="DB36">
        <f>ROUND((ROUND(AT36*CZ36,2)*ROUND(0.3,7)),6)</f>
        <v>0</v>
      </c>
      <c r="DC36">
        <f>ROUND((ROUND(AT36*AG36,2)*ROUND(0.3,7)),6)</f>
        <v>0</v>
      </c>
      <c r="DD36" t="s">
        <v>3</v>
      </c>
      <c r="DE36" t="s">
        <v>3</v>
      </c>
      <c r="DF36">
        <f t="shared" si="9"/>
        <v>0</v>
      </c>
      <c r="DG36">
        <f>ROUND(ROUND(AF36,2)*CX36,2)</f>
        <v>0</v>
      </c>
      <c r="DH36">
        <f t="shared" si="7"/>
        <v>0</v>
      </c>
      <c r="DI36">
        <f t="shared" si="8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ROW(Source!A70)</f>
        <v>70</v>
      </c>
      <c r="B37">
        <v>65178645</v>
      </c>
      <c r="C37">
        <v>65178890</v>
      </c>
      <c r="D37">
        <v>56571417</v>
      </c>
      <c r="E37">
        <v>1</v>
      </c>
      <c r="F37">
        <v>1</v>
      </c>
      <c r="G37">
        <v>1</v>
      </c>
      <c r="H37">
        <v>2</v>
      </c>
      <c r="I37" t="s">
        <v>386</v>
      </c>
      <c r="J37" t="s">
        <v>387</v>
      </c>
      <c r="K37" t="s">
        <v>388</v>
      </c>
      <c r="L37">
        <v>1368</v>
      </c>
      <c r="N37">
        <v>1011</v>
      </c>
      <c r="O37" t="s">
        <v>378</v>
      </c>
      <c r="P37" t="s">
        <v>378</v>
      </c>
      <c r="Q37">
        <v>1</v>
      </c>
      <c r="W37">
        <v>0</v>
      </c>
      <c r="X37">
        <v>-848025172</v>
      </c>
      <c r="Y37">
        <f>(AT37*ROUND(0.3,7))</f>
        <v>3.0000000000000001E-3</v>
      </c>
      <c r="AA37">
        <v>0</v>
      </c>
      <c r="AB37">
        <v>1551.19</v>
      </c>
      <c r="AC37">
        <v>658.94</v>
      </c>
      <c r="AD37">
        <v>0</v>
      </c>
      <c r="AE37">
        <v>0</v>
      </c>
      <c r="AF37">
        <v>1551.19</v>
      </c>
      <c r="AG37">
        <v>658.94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0.01</v>
      </c>
      <c r="AU37" t="s">
        <v>112</v>
      </c>
      <c r="AV37">
        <v>1</v>
      </c>
      <c r="AW37">
        <v>2</v>
      </c>
      <c r="AX37">
        <v>65178904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15.511900000000001</v>
      </c>
      <c r="BL37">
        <v>6.5894000000000004</v>
      </c>
      <c r="BM37">
        <v>0</v>
      </c>
      <c r="BN37">
        <v>0</v>
      </c>
      <c r="BO37">
        <v>0.01</v>
      </c>
      <c r="BP37">
        <v>1</v>
      </c>
      <c r="BQ37">
        <v>0</v>
      </c>
      <c r="BR37">
        <v>4.6535700000000002</v>
      </c>
      <c r="BS37">
        <v>1.9768200000000002</v>
      </c>
      <c r="BT37">
        <v>0</v>
      </c>
      <c r="BU37">
        <v>0</v>
      </c>
      <c r="BV37">
        <v>3.0000000000000001E-3</v>
      </c>
      <c r="BW37">
        <v>1</v>
      </c>
      <c r="CV37">
        <v>0</v>
      </c>
      <c r="CW37">
        <f>ROUND(Y37*Source!I70*DO37,7)</f>
        <v>3.0000000000000001E-3</v>
      </c>
      <c r="CX37">
        <f>ROUND(Y37*Source!I70,7)</f>
        <v>3.0000000000000001E-3</v>
      </c>
      <c r="CY37">
        <f>AB37</f>
        <v>1551.19</v>
      </c>
      <c r="CZ37">
        <f>AF37</f>
        <v>1551.19</v>
      </c>
      <c r="DA37">
        <f>AJ37</f>
        <v>1</v>
      </c>
      <c r="DB37">
        <f>ROUND((ROUND(AT37*CZ37,2)*ROUND(0.3,7)),6)</f>
        <v>4.6529999999999996</v>
      </c>
      <c r="DC37">
        <f>ROUND((ROUND(AT37*AG37,2)*ROUND(0.3,7)),6)</f>
        <v>1.9770000000000001</v>
      </c>
      <c r="DD37" t="s">
        <v>3</v>
      </c>
      <c r="DE37" t="s">
        <v>3</v>
      </c>
      <c r="DF37">
        <f t="shared" si="9"/>
        <v>0</v>
      </c>
      <c r="DG37">
        <f>ROUND(ROUND(AF37,2)*CX37,2)</f>
        <v>4.6500000000000004</v>
      </c>
      <c r="DH37">
        <f t="shared" si="7"/>
        <v>1.98</v>
      </c>
      <c r="DI37">
        <f t="shared" si="8"/>
        <v>0</v>
      </c>
      <c r="DJ37">
        <f>DG37+DH37</f>
        <v>6.6300000000000008</v>
      </c>
      <c r="DK37">
        <v>1</v>
      </c>
      <c r="DL37" t="s">
        <v>389</v>
      </c>
      <c r="DM37">
        <v>6</v>
      </c>
      <c r="DN37" t="s">
        <v>372</v>
      </c>
      <c r="DO37">
        <v>1</v>
      </c>
    </row>
    <row r="38" spans="1:119" x14ac:dyDescent="0.2">
      <c r="A38">
        <f>ROW(Source!A70)</f>
        <v>70</v>
      </c>
      <c r="B38">
        <v>65178645</v>
      </c>
      <c r="C38">
        <v>65178890</v>
      </c>
      <c r="D38">
        <v>56571773</v>
      </c>
      <c r="E38">
        <v>1</v>
      </c>
      <c r="F38">
        <v>1</v>
      </c>
      <c r="G38">
        <v>1</v>
      </c>
      <c r="H38">
        <v>2</v>
      </c>
      <c r="I38" t="s">
        <v>416</v>
      </c>
      <c r="J38" t="s">
        <v>417</v>
      </c>
      <c r="K38" t="s">
        <v>418</v>
      </c>
      <c r="L38">
        <v>1368</v>
      </c>
      <c r="N38">
        <v>1011</v>
      </c>
      <c r="O38" t="s">
        <v>378</v>
      </c>
      <c r="P38" t="s">
        <v>378</v>
      </c>
      <c r="Q38">
        <v>1</v>
      </c>
      <c r="W38">
        <v>0</v>
      </c>
      <c r="X38">
        <v>802529245</v>
      </c>
      <c r="Y38">
        <f>(AT38*ROUND(0.3,7))</f>
        <v>1.113</v>
      </c>
      <c r="AA38">
        <v>0</v>
      </c>
      <c r="AB38">
        <v>2002.38</v>
      </c>
      <c r="AC38">
        <v>658.94</v>
      </c>
      <c r="AD38">
        <v>0</v>
      </c>
      <c r="AE38">
        <v>0</v>
      </c>
      <c r="AF38">
        <v>1472.34</v>
      </c>
      <c r="AG38">
        <v>658.94</v>
      </c>
      <c r="AH38">
        <v>0</v>
      </c>
      <c r="AI38">
        <v>1</v>
      </c>
      <c r="AJ38">
        <v>1.36</v>
      </c>
      <c r="AK38">
        <v>1</v>
      </c>
      <c r="AL38">
        <v>1</v>
      </c>
      <c r="AM38">
        <v>2</v>
      </c>
      <c r="AN38">
        <v>0</v>
      </c>
      <c r="AO38">
        <v>0</v>
      </c>
      <c r="AP38">
        <v>1</v>
      </c>
      <c r="AQ38">
        <v>1</v>
      </c>
      <c r="AR38">
        <v>0</v>
      </c>
      <c r="AS38" t="s">
        <v>3</v>
      </c>
      <c r="AT38">
        <v>3.71</v>
      </c>
      <c r="AU38" t="s">
        <v>112</v>
      </c>
      <c r="AV38">
        <v>1</v>
      </c>
      <c r="AW38">
        <v>2</v>
      </c>
      <c r="AX38">
        <v>65178905</v>
      </c>
      <c r="AY38">
        <v>1</v>
      </c>
      <c r="AZ38">
        <v>0</v>
      </c>
      <c r="BA38">
        <v>38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5462.3813999999993</v>
      </c>
      <c r="BL38">
        <v>2444.6674000000003</v>
      </c>
      <c r="BM38">
        <v>0</v>
      </c>
      <c r="BN38">
        <v>0</v>
      </c>
      <c r="BO38">
        <v>3.71</v>
      </c>
      <c r="BP38">
        <v>1</v>
      </c>
      <c r="BQ38">
        <v>0</v>
      </c>
      <c r="BR38">
        <v>1638.7144199999998</v>
      </c>
      <c r="BS38">
        <v>733.4002200000001</v>
      </c>
      <c r="BT38">
        <v>0</v>
      </c>
      <c r="BU38">
        <v>0</v>
      </c>
      <c r="BV38">
        <v>1.113</v>
      </c>
      <c r="BW38">
        <v>1</v>
      </c>
      <c r="CV38">
        <v>0</v>
      </c>
      <c r="CW38">
        <f>ROUND(Y38*Source!I70*DO38,7)</f>
        <v>1.113</v>
      </c>
      <c r="CX38">
        <f>ROUND(Y38*Source!I70,7)</f>
        <v>1.113</v>
      </c>
      <c r="CY38">
        <f>AB38</f>
        <v>2002.38</v>
      </c>
      <c r="CZ38">
        <f>AF38</f>
        <v>1472.34</v>
      </c>
      <c r="DA38">
        <f>AJ38</f>
        <v>1.36</v>
      </c>
      <c r="DB38">
        <f>ROUND((ROUND(AT38*CZ38,2)*ROUND(0.3,7)),6)</f>
        <v>1638.7139999999999</v>
      </c>
      <c r="DC38">
        <f>ROUND((ROUND(AT38*AG38,2)*ROUND(0.3,7)),6)</f>
        <v>733.40099999999995</v>
      </c>
      <c r="DD38" t="s">
        <v>3</v>
      </c>
      <c r="DE38" t="s">
        <v>3</v>
      </c>
      <c r="DF38">
        <f t="shared" si="9"/>
        <v>0</v>
      </c>
      <c r="DG38">
        <f>ROUND(ROUND(AF38*AJ38,2)*CX38,2)</f>
        <v>2228.65</v>
      </c>
      <c r="DH38">
        <f t="shared" si="7"/>
        <v>733.4</v>
      </c>
      <c r="DI38">
        <f t="shared" si="8"/>
        <v>0</v>
      </c>
      <c r="DJ38">
        <f>DG38+DH38</f>
        <v>2962.05</v>
      </c>
      <c r="DK38">
        <v>0</v>
      </c>
      <c r="DL38" t="s">
        <v>389</v>
      </c>
      <c r="DM38">
        <v>6</v>
      </c>
      <c r="DN38" t="s">
        <v>372</v>
      </c>
      <c r="DO38">
        <v>1</v>
      </c>
    </row>
    <row r="39" spans="1:119" x14ac:dyDescent="0.2">
      <c r="A39">
        <f>ROW(Source!A70)</f>
        <v>70</v>
      </c>
      <c r="B39">
        <v>65178645</v>
      </c>
      <c r="C39">
        <v>65178890</v>
      </c>
      <c r="D39">
        <v>56572833</v>
      </c>
      <c r="E39">
        <v>1</v>
      </c>
      <c r="F39">
        <v>1</v>
      </c>
      <c r="G39">
        <v>1</v>
      </c>
      <c r="H39">
        <v>2</v>
      </c>
      <c r="I39" t="s">
        <v>380</v>
      </c>
      <c r="J39" t="s">
        <v>381</v>
      </c>
      <c r="K39" t="s">
        <v>382</v>
      </c>
      <c r="L39">
        <v>1368</v>
      </c>
      <c r="N39">
        <v>1011</v>
      </c>
      <c r="O39" t="s">
        <v>378</v>
      </c>
      <c r="P39" t="s">
        <v>378</v>
      </c>
      <c r="Q39">
        <v>1</v>
      </c>
      <c r="W39">
        <v>0</v>
      </c>
      <c r="X39">
        <v>1230426758</v>
      </c>
      <c r="Y39">
        <f>(AT39*ROUND(0.3,7))</f>
        <v>3.0000000000000001E-3</v>
      </c>
      <c r="AA39">
        <v>0</v>
      </c>
      <c r="AB39">
        <v>578.28</v>
      </c>
      <c r="AC39">
        <v>490.55</v>
      </c>
      <c r="AD39">
        <v>0</v>
      </c>
      <c r="AE39">
        <v>0</v>
      </c>
      <c r="AF39">
        <v>477.92</v>
      </c>
      <c r="AG39">
        <v>490.55</v>
      </c>
      <c r="AH39">
        <v>0</v>
      </c>
      <c r="AI39">
        <v>1</v>
      </c>
      <c r="AJ39">
        <v>1.21</v>
      </c>
      <c r="AK39">
        <v>1</v>
      </c>
      <c r="AL39">
        <v>1</v>
      </c>
      <c r="AM39">
        <v>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3</v>
      </c>
      <c r="AT39">
        <v>0.01</v>
      </c>
      <c r="AU39" t="s">
        <v>112</v>
      </c>
      <c r="AV39">
        <v>1</v>
      </c>
      <c r="AW39">
        <v>2</v>
      </c>
      <c r="AX39">
        <v>65178906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4.7792000000000003</v>
      </c>
      <c r="BL39">
        <v>4.9055</v>
      </c>
      <c r="BM39">
        <v>0</v>
      </c>
      <c r="BN39">
        <v>0</v>
      </c>
      <c r="BO39">
        <v>0.01</v>
      </c>
      <c r="BP39">
        <v>1</v>
      </c>
      <c r="BQ39">
        <v>0</v>
      </c>
      <c r="BR39">
        <v>1.4337600000000001</v>
      </c>
      <c r="BS39">
        <v>1.4716500000000001</v>
      </c>
      <c r="BT39">
        <v>0</v>
      </c>
      <c r="BU39">
        <v>0</v>
      </c>
      <c r="BV39">
        <v>3.0000000000000001E-3</v>
      </c>
      <c r="BW39">
        <v>1</v>
      </c>
      <c r="CV39">
        <v>0</v>
      </c>
      <c r="CW39">
        <f>ROUND(Y39*Source!I70*DO39,7)</f>
        <v>3.0000000000000001E-3</v>
      </c>
      <c r="CX39">
        <f>ROUND(Y39*Source!I70,7)</f>
        <v>3.0000000000000001E-3</v>
      </c>
      <c r="CY39">
        <f>AB39</f>
        <v>578.28</v>
      </c>
      <c r="CZ39">
        <f>AF39</f>
        <v>477.92</v>
      </c>
      <c r="DA39">
        <f>AJ39</f>
        <v>1.21</v>
      </c>
      <c r="DB39">
        <f>ROUND((ROUND(AT39*CZ39,2)*ROUND(0.3,7)),6)</f>
        <v>1.4339999999999999</v>
      </c>
      <c r="DC39">
        <f>ROUND((ROUND(AT39*AG39,2)*ROUND(0.3,7)),6)</f>
        <v>1.4730000000000001</v>
      </c>
      <c r="DD39" t="s">
        <v>3</v>
      </c>
      <c r="DE39" t="s">
        <v>3</v>
      </c>
      <c r="DF39">
        <f t="shared" si="9"/>
        <v>0</v>
      </c>
      <c r="DG39">
        <f>ROUND(ROUND(AF39*AJ39,2)*CX39,2)</f>
        <v>1.73</v>
      </c>
      <c r="DH39">
        <f t="shared" si="7"/>
        <v>1.47</v>
      </c>
      <c r="DI39">
        <f t="shared" si="8"/>
        <v>0</v>
      </c>
      <c r="DJ39">
        <f>DG39+DH39</f>
        <v>3.2</v>
      </c>
      <c r="DK39">
        <v>0</v>
      </c>
      <c r="DL39" t="s">
        <v>383</v>
      </c>
      <c r="DM39">
        <v>4</v>
      </c>
      <c r="DN39" t="s">
        <v>372</v>
      </c>
      <c r="DO39">
        <v>1</v>
      </c>
    </row>
    <row r="40" spans="1:119" x14ac:dyDescent="0.2">
      <c r="A40">
        <f>ROW(Source!A70)</f>
        <v>70</v>
      </c>
      <c r="B40">
        <v>65178645</v>
      </c>
      <c r="C40">
        <v>65178890</v>
      </c>
      <c r="D40">
        <v>56578363</v>
      </c>
      <c r="E40">
        <v>1</v>
      </c>
      <c r="F40">
        <v>1</v>
      </c>
      <c r="G40">
        <v>1</v>
      </c>
      <c r="H40">
        <v>3</v>
      </c>
      <c r="I40" t="s">
        <v>419</v>
      </c>
      <c r="J40" t="s">
        <v>420</v>
      </c>
      <c r="K40" t="s">
        <v>421</v>
      </c>
      <c r="L40">
        <v>1301</v>
      </c>
      <c r="N40">
        <v>1003</v>
      </c>
      <c r="O40" t="s">
        <v>422</v>
      </c>
      <c r="P40" t="s">
        <v>422</v>
      </c>
      <c r="Q40">
        <v>1</v>
      </c>
      <c r="W40">
        <v>0</v>
      </c>
      <c r="X40">
        <v>-1322345673</v>
      </c>
      <c r="Y40">
        <f>(AT40*ROUND(0,7))</f>
        <v>0</v>
      </c>
      <c r="AA40">
        <v>0.77</v>
      </c>
      <c r="AB40">
        <v>0</v>
      </c>
      <c r="AC40">
        <v>0</v>
      </c>
      <c r="AD40">
        <v>0</v>
      </c>
      <c r="AE40">
        <v>0.5</v>
      </c>
      <c r="AF40">
        <v>0</v>
      </c>
      <c r="AG40">
        <v>0</v>
      </c>
      <c r="AH40">
        <v>0</v>
      </c>
      <c r="AI40">
        <v>1.53</v>
      </c>
      <c r="AJ40">
        <v>1</v>
      </c>
      <c r="AK40">
        <v>1</v>
      </c>
      <c r="AL40">
        <v>1</v>
      </c>
      <c r="AM40">
        <v>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3</v>
      </c>
      <c r="AT40">
        <v>29.09</v>
      </c>
      <c r="AU40" t="s">
        <v>111</v>
      </c>
      <c r="AV40">
        <v>0</v>
      </c>
      <c r="AW40">
        <v>2</v>
      </c>
      <c r="AX40">
        <v>65178907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14.545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1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ROUND(Y40*Source!I70,7)</f>
        <v>0</v>
      </c>
      <c r="CY40">
        <f t="shared" ref="CY40:CY45" si="10">AA40</f>
        <v>0.77</v>
      </c>
      <c r="CZ40">
        <f t="shared" ref="CZ40:CZ45" si="11">AE40</f>
        <v>0.5</v>
      </c>
      <c r="DA40">
        <f t="shared" ref="DA40:DA45" si="12">AI40</f>
        <v>1.53</v>
      </c>
      <c r="DB40">
        <f>ROUND((ROUND(AT40*CZ40,2)*ROUND(0,7)),6)</f>
        <v>0</v>
      </c>
      <c r="DC40">
        <f>ROUND((ROUND(AT40*AG40,2)*ROUND(0,7)),6)</f>
        <v>0</v>
      </c>
      <c r="DD40" t="s">
        <v>3</v>
      </c>
      <c r="DE40" t="s">
        <v>3</v>
      </c>
      <c r="DF40">
        <f>ROUND(ROUND(AE40*AI40,2)*CX40,2)</f>
        <v>0</v>
      </c>
      <c r="DG40">
        <f t="shared" ref="DG40:DG48" si="13">ROUND(ROUND(AF40,2)*CX40,2)</f>
        <v>0</v>
      </c>
      <c r="DH40">
        <f t="shared" si="7"/>
        <v>0</v>
      </c>
      <c r="DI40">
        <f t="shared" si="8"/>
        <v>0</v>
      </c>
      <c r="DJ40">
        <f t="shared" ref="DJ40:DJ45" si="14">DF40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ROW(Source!A70)</f>
        <v>70</v>
      </c>
      <c r="B41">
        <v>65178645</v>
      </c>
      <c r="C41">
        <v>65178890</v>
      </c>
      <c r="D41">
        <v>56580368</v>
      </c>
      <c r="E41">
        <v>1</v>
      </c>
      <c r="F41">
        <v>1</v>
      </c>
      <c r="G41">
        <v>1</v>
      </c>
      <c r="H41">
        <v>3</v>
      </c>
      <c r="I41" t="s">
        <v>411</v>
      </c>
      <c r="J41" t="s">
        <v>412</v>
      </c>
      <c r="K41" t="s">
        <v>413</v>
      </c>
      <c r="L41">
        <v>1346</v>
      </c>
      <c r="N41">
        <v>1009</v>
      </c>
      <c r="O41" t="s">
        <v>253</v>
      </c>
      <c r="P41" t="s">
        <v>253</v>
      </c>
      <c r="Q41">
        <v>1</v>
      </c>
      <c r="W41">
        <v>0</v>
      </c>
      <c r="X41">
        <v>-385218612</v>
      </c>
      <c r="Y41">
        <f>(AT41*ROUND(0,7))</f>
        <v>0</v>
      </c>
      <c r="AA41">
        <v>201.17</v>
      </c>
      <c r="AB41">
        <v>0</v>
      </c>
      <c r="AC41">
        <v>0</v>
      </c>
      <c r="AD41">
        <v>0</v>
      </c>
      <c r="AE41">
        <v>174.93</v>
      </c>
      <c r="AF41">
        <v>0</v>
      </c>
      <c r="AG41">
        <v>0</v>
      </c>
      <c r="AH41">
        <v>0</v>
      </c>
      <c r="AI41">
        <v>1.1499999999999999</v>
      </c>
      <c r="AJ41">
        <v>1</v>
      </c>
      <c r="AK41">
        <v>1</v>
      </c>
      <c r="AL41">
        <v>1</v>
      </c>
      <c r="AM41">
        <v>2</v>
      </c>
      <c r="AN41">
        <v>0</v>
      </c>
      <c r="AO41">
        <v>0</v>
      </c>
      <c r="AP41">
        <v>1</v>
      </c>
      <c r="AQ41">
        <v>1</v>
      </c>
      <c r="AR41">
        <v>0</v>
      </c>
      <c r="AS41" t="s">
        <v>3</v>
      </c>
      <c r="AT41">
        <v>0.02</v>
      </c>
      <c r="AU41" t="s">
        <v>111</v>
      </c>
      <c r="AV41">
        <v>0</v>
      </c>
      <c r="AW41">
        <v>2</v>
      </c>
      <c r="AX41">
        <v>65178908</v>
      </c>
      <c r="AY41">
        <v>1</v>
      </c>
      <c r="AZ41">
        <v>0</v>
      </c>
      <c r="BA41">
        <v>41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3.4986000000000002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1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ROUND(Y41*Source!I70,7)</f>
        <v>0</v>
      </c>
      <c r="CY41">
        <f t="shared" si="10"/>
        <v>201.17</v>
      </c>
      <c r="CZ41">
        <f t="shared" si="11"/>
        <v>174.93</v>
      </c>
      <c r="DA41">
        <f t="shared" si="12"/>
        <v>1.1499999999999999</v>
      </c>
      <c r="DB41">
        <f>ROUND((ROUND(AT41*CZ41,2)*ROUND(0,7)),6)</f>
        <v>0</v>
      </c>
      <c r="DC41">
        <f>ROUND((ROUND(AT41*AG41,2)*ROUND(0,7)),6)</f>
        <v>0</v>
      </c>
      <c r="DD41" t="s">
        <v>3</v>
      </c>
      <c r="DE41" t="s">
        <v>3</v>
      </c>
      <c r="DF41">
        <f>ROUND(ROUND(AE41*AI41,2)*CX41,2)</f>
        <v>0</v>
      </c>
      <c r="DG41">
        <f t="shared" si="13"/>
        <v>0</v>
      </c>
      <c r="DH41">
        <f t="shared" si="7"/>
        <v>0</v>
      </c>
      <c r="DI41">
        <f t="shared" si="8"/>
        <v>0</v>
      </c>
      <c r="DJ41">
        <f t="shared" si="14"/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ROW(Source!A70)</f>
        <v>70</v>
      </c>
      <c r="B42">
        <v>65178645</v>
      </c>
      <c r="C42">
        <v>65178890</v>
      </c>
      <c r="D42">
        <v>56610084</v>
      </c>
      <c r="E42">
        <v>1</v>
      </c>
      <c r="F42">
        <v>1</v>
      </c>
      <c r="G42">
        <v>1</v>
      </c>
      <c r="H42">
        <v>3</v>
      </c>
      <c r="I42" t="s">
        <v>423</v>
      </c>
      <c r="J42" t="s">
        <v>424</v>
      </c>
      <c r="K42" t="s">
        <v>425</v>
      </c>
      <c r="L42">
        <v>1346</v>
      </c>
      <c r="N42">
        <v>1009</v>
      </c>
      <c r="O42" t="s">
        <v>253</v>
      </c>
      <c r="P42" t="s">
        <v>253</v>
      </c>
      <c r="Q42">
        <v>1</v>
      </c>
      <c r="W42">
        <v>0</v>
      </c>
      <c r="X42">
        <v>50985725</v>
      </c>
      <c r="Y42">
        <f>(AT42*ROUND(0,7))</f>
        <v>0</v>
      </c>
      <c r="AA42">
        <v>104.64</v>
      </c>
      <c r="AB42">
        <v>0</v>
      </c>
      <c r="AC42">
        <v>0</v>
      </c>
      <c r="AD42">
        <v>0</v>
      </c>
      <c r="AE42">
        <v>79.88</v>
      </c>
      <c r="AF42">
        <v>0</v>
      </c>
      <c r="AG42">
        <v>0</v>
      </c>
      <c r="AH42">
        <v>0</v>
      </c>
      <c r="AI42">
        <v>1.31</v>
      </c>
      <c r="AJ42">
        <v>1</v>
      </c>
      <c r="AK42">
        <v>1</v>
      </c>
      <c r="AL42">
        <v>1</v>
      </c>
      <c r="AM42">
        <v>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3</v>
      </c>
      <c r="AT42">
        <v>0.13</v>
      </c>
      <c r="AU42" t="s">
        <v>111</v>
      </c>
      <c r="AV42">
        <v>0</v>
      </c>
      <c r="AW42">
        <v>2</v>
      </c>
      <c r="AX42">
        <v>65178909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10.384399999999999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1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ROUND(Y42*Source!I70,7)</f>
        <v>0</v>
      </c>
      <c r="CY42">
        <f t="shared" si="10"/>
        <v>104.64</v>
      </c>
      <c r="CZ42">
        <f t="shared" si="11"/>
        <v>79.88</v>
      </c>
      <c r="DA42">
        <f t="shared" si="12"/>
        <v>1.31</v>
      </c>
      <c r="DB42">
        <f>ROUND((ROUND(AT42*CZ42,2)*ROUND(0,7)),6)</f>
        <v>0</v>
      </c>
      <c r="DC42">
        <f>ROUND((ROUND(AT42*AG42,2)*ROUND(0,7)),6)</f>
        <v>0</v>
      </c>
      <c r="DD42" t="s">
        <v>3</v>
      </c>
      <c r="DE42" t="s">
        <v>3</v>
      </c>
      <c r="DF42">
        <f>ROUND(ROUND(AE42*AI42,2)*CX42,2)</f>
        <v>0</v>
      </c>
      <c r="DG42">
        <f t="shared" si="13"/>
        <v>0</v>
      </c>
      <c r="DH42">
        <f t="shared" si="7"/>
        <v>0</v>
      </c>
      <c r="DI42">
        <f t="shared" si="8"/>
        <v>0</v>
      </c>
      <c r="DJ42">
        <f t="shared" si="14"/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ROW(Source!A70)</f>
        <v>70</v>
      </c>
      <c r="B43">
        <v>65178645</v>
      </c>
      <c r="C43">
        <v>65178890</v>
      </c>
      <c r="D43">
        <v>56610130</v>
      </c>
      <c r="E43">
        <v>1</v>
      </c>
      <c r="F43">
        <v>1</v>
      </c>
      <c r="G43">
        <v>1</v>
      </c>
      <c r="H43">
        <v>3</v>
      </c>
      <c r="I43" t="s">
        <v>426</v>
      </c>
      <c r="J43" t="s">
        <v>427</v>
      </c>
      <c r="K43" t="s">
        <v>428</v>
      </c>
      <c r="L43">
        <v>1348</v>
      </c>
      <c r="N43">
        <v>1009</v>
      </c>
      <c r="O43" t="s">
        <v>244</v>
      </c>
      <c r="P43" t="s">
        <v>244</v>
      </c>
      <c r="Q43">
        <v>1000</v>
      </c>
      <c r="W43">
        <v>0</v>
      </c>
      <c r="X43">
        <v>-246350641</v>
      </c>
      <c r="Y43">
        <f>(AT43*ROUND(0,7))</f>
        <v>0</v>
      </c>
      <c r="AA43">
        <v>100891.73</v>
      </c>
      <c r="AB43">
        <v>0</v>
      </c>
      <c r="AC43">
        <v>0</v>
      </c>
      <c r="AD43">
        <v>0</v>
      </c>
      <c r="AE43">
        <v>82698.14</v>
      </c>
      <c r="AF43">
        <v>0</v>
      </c>
      <c r="AG43">
        <v>0</v>
      </c>
      <c r="AH43">
        <v>0</v>
      </c>
      <c r="AI43">
        <v>1.22</v>
      </c>
      <c r="AJ43">
        <v>1</v>
      </c>
      <c r="AK43">
        <v>1</v>
      </c>
      <c r="AL43">
        <v>1</v>
      </c>
      <c r="AM43">
        <v>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3</v>
      </c>
      <c r="AT43">
        <v>2.0000000000000002E-5</v>
      </c>
      <c r="AU43" t="s">
        <v>111</v>
      </c>
      <c r="AV43">
        <v>0</v>
      </c>
      <c r="AW43">
        <v>2</v>
      </c>
      <c r="AX43">
        <v>65178910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1.6539628000000002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1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ROUND(Y43*Source!I70,7)</f>
        <v>0</v>
      </c>
      <c r="CY43">
        <f t="shared" si="10"/>
        <v>100891.73</v>
      </c>
      <c r="CZ43">
        <f t="shared" si="11"/>
        <v>82698.14</v>
      </c>
      <c r="DA43">
        <f t="shared" si="12"/>
        <v>1.22</v>
      </c>
      <c r="DB43">
        <f>ROUND((ROUND(AT43*CZ43,2)*ROUND(0,7)),6)</f>
        <v>0</v>
      </c>
      <c r="DC43">
        <f>ROUND((ROUND(AT43*AG43,2)*ROUND(0,7)),6)</f>
        <v>0</v>
      </c>
      <c r="DD43" t="s">
        <v>3</v>
      </c>
      <c r="DE43" t="s">
        <v>3</v>
      </c>
      <c r="DF43">
        <f>ROUND(ROUND(AE43*AI43,2)*CX43,2)</f>
        <v>0</v>
      </c>
      <c r="DG43">
        <f t="shared" si="13"/>
        <v>0</v>
      </c>
      <c r="DH43">
        <f t="shared" si="7"/>
        <v>0</v>
      </c>
      <c r="DI43">
        <f t="shared" si="8"/>
        <v>0</v>
      </c>
      <c r="DJ43">
        <f t="shared" si="14"/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ROW(Source!A70)</f>
        <v>70</v>
      </c>
      <c r="B44">
        <v>65178645</v>
      </c>
      <c r="C44">
        <v>65178890</v>
      </c>
      <c r="D44">
        <v>56622749</v>
      </c>
      <c r="E44">
        <v>1</v>
      </c>
      <c r="F44">
        <v>1</v>
      </c>
      <c r="G44">
        <v>1</v>
      </c>
      <c r="H44">
        <v>3</v>
      </c>
      <c r="I44" t="s">
        <v>429</v>
      </c>
      <c r="J44" t="s">
        <v>430</v>
      </c>
      <c r="K44" t="s">
        <v>431</v>
      </c>
      <c r="L44">
        <v>1407</v>
      </c>
      <c r="N44">
        <v>1013</v>
      </c>
      <c r="O44" t="s">
        <v>432</v>
      </c>
      <c r="P44" t="s">
        <v>432</v>
      </c>
      <c r="Q44">
        <v>1</v>
      </c>
      <c r="W44">
        <v>0</v>
      </c>
      <c r="X44">
        <v>1796783163</v>
      </c>
      <c r="Y44">
        <f>(AT44*ROUND(0,7))</f>
        <v>0</v>
      </c>
      <c r="AA44">
        <v>4134.6000000000004</v>
      </c>
      <c r="AB44">
        <v>0</v>
      </c>
      <c r="AC44">
        <v>0</v>
      </c>
      <c r="AD44">
        <v>0</v>
      </c>
      <c r="AE44">
        <v>3658.94</v>
      </c>
      <c r="AF44">
        <v>0</v>
      </c>
      <c r="AG44">
        <v>0</v>
      </c>
      <c r="AH44">
        <v>0</v>
      </c>
      <c r="AI44">
        <v>1.1299999999999999</v>
      </c>
      <c r="AJ44">
        <v>1</v>
      </c>
      <c r="AK44">
        <v>1</v>
      </c>
      <c r="AL44">
        <v>1</v>
      </c>
      <c r="AM44">
        <v>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3</v>
      </c>
      <c r="AT44">
        <v>8.0000000000000002E-3</v>
      </c>
      <c r="AU44" t="s">
        <v>111</v>
      </c>
      <c r="AV44">
        <v>0</v>
      </c>
      <c r="AW44">
        <v>2</v>
      </c>
      <c r="AX44">
        <v>65178911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29.271520000000002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1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ROUND(Y44*Source!I70,7)</f>
        <v>0</v>
      </c>
      <c r="CY44">
        <f t="shared" si="10"/>
        <v>4134.6000000000004</v>
      </c>
      <c r="CZ44">
        <f t="shared" si="11"/>
        <v>3658.94</v>
      </c>
      <c r="DA44">
        <f t="shared" si="12"/>
        <v>1.1299999999999999</v>
      </c>
      <c r="DB44">
        <f>ROUND((ROUND(AT44*CZ44,2)*ROUND(0,7)),6)</f>
        <v>0</v>
      </c>
      <c r="DC44">
        <f>ROUND((ROUND(AT44*AG44,2)*ROUND(0,7)),6)</f>
        <v>0</v>
      </c>
      <c r="DD44" t="s">
        <v>3</v>
      </c>
      <c r="DE44" t="s">
        <v>3</v>
      </c>
      <c r="DF44">
        <f>ROUND(ROUND(AE44*AI44,2)*CX44,2)</f>
        <v>0</v>
      </c>
      <c r="DG44">
        <f t="shared" si="13"/>
        <v>0</v>
      </c>
      <c r="DH44">
        <f t="shared" si="7"/>
        <v>0</v>
      </c>
      <c r="DI44">
        <f t="shared" si="8"/>
        <v>0</v>
      </c>
      <c r="DJ44">
        <f t="shared" si="14"/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ROW(Source!A70)</f>
        <v>70</v>
      </c>
      <c r="B45">
        <v>65178645</v>
      </c>
      <c r="C45">
        <v>65178890</v>
      </c>
      <c r="D45">
        <v>56223463</v>
      </c>
      <c r="E45">
        <v>108</v>
      </c>
      <c r="F45">
        <v>1</v>
      </c>
      <c r="G45">
        <v>1</v>
      </c>
      <c r="H45">
        <v>3</v>
      </c>
      <c r="I45" t="s">
        <v>406</v>
      </c>
      <c r="J45" t="s">
        <v>3</v>
      </c>
      <c r="K45" t="s">
        <v>407</v>
      </c>
      <c r="L45">
        <v>3277935</v>
      </c>
      <c r="N45">
        <v>1013</v>
      </c>
      <c r="O45" t="s">
        <v>408</v>
      </c>
      <c r="P45" t="s">
        <v>408</v>
      </c>
      <c r="Q45">
        <v>1</v>
      </c>
      <c r="W45">
        <v>0</v>
      </c>
      <c r="X45">
        <v>274903907</v>
      </c>
      <c r="Y45">
        <f>AT45</f>
        <v>2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0</v>
      </c>
      <c r="AP45">
        <v>0</v>
      </c>
      <c r="AQ45">
        <v>1</v>
      </c>
      <c r="AR45">
        <v>0</v>
      </c>
      <c r="AS45" t="s">
        <v>3</v>
      </c>
      <c r="AT45">
        <v>2</v>
      </c>
      <c r="AU45" t="s">
        <v>3</v>
      </c>
      <c r="AV45">
        <v>0</v>
      </c>
      <c r="AW45">
        <v>2</v>
      </c>
      <c r="AX45">
        <v>65178912</v>
      </c>
      <c r="AY45">
        <v>1</v>
      </c>
      <c r="AZ45">
        <v>2048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ROUND(Y45*Source!I70,7)</f>
        <v>2</v>
      </c>
      <c r="CY45">
        <f t="shared" si="10"/>
        <v>0</v>
      </c>
      <c r="CZ45">
        <f t="shared" si="11"/>
        <v>0</v>
      </c>
      <c r="DA45">
        <f t="shared" si="12"/>
        <v>1</v>
      </c>
      <c r="DB45">
        <f>ROUND(ROUND(AT45*CZ45,2),6)</f>
        <v>0</v>
      </c>
      <c r="DC45">
        <f>ROUND(ROUND(AT45*AG45,2),6)</f>
        <v>0</v>
      </c>
      <c r="DD45" t="s">
        <v>3</v>
      </c>
      <c r="DE45" t="s">
        <v>3</v>
      </c>
      <c r="DF45">
        <f t="shared" ref="DF45:DF50" si="15">ROUND(ROUND(AE45,2)*CX45,2)</f>
        <v>0</v>
      </c>
      <c r="DG45">
        <f t="shared" si="13"/>
        <v>0</v>
      </c>
      <c r="DH45">
        <f t="shared" si="7"/>
        <v>0</v>
      </c>
      <c r="DI45">
        <f t="shared" si="8"/>
        <v>0</v>
      </c>
      <c r="DJ45">
        <f t="shared" si="14"/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ROW(Source!A71)</f>
        <v>71</v>
      </c>
      <c r="B46">
        <v>65178645</v>
      </c>
      <c r="C46">
        <v>65178918</v>
      </c>
      <c r="D46">
        <v>37064878</v>
      </c>
      <c r="E46">
        <v>108</v>
      </c>
      <c r="F46">
        <v>1</v>
      </c>
      <c r="G46">
        <v>1</v>
      </c>
      <c r="H46">
        <v>1</v>
      </c>
      <c r="I46" t="s">
        <v>433</v>
      </c>
      <c r="J46" t="s">
        <v>3</v>
      </c>
      <c r="K46" t="s">
        <v>434</v>
      </c>
      <c r="L46">
        <v>1191</v>
      </c>
      <c r="N46">
        <v>1013</v>
      </c>
      <c r="O46" t="s">
        <v>372</v>
      </c>
      <c r="P46" t="s">
        <v>372</v>
      </c>
      <c r="Q46">
        <v>1</v>
      </c>
      <c r="W46">
        <v>0</v>
      </c>
      <c r="X46">
        <v>-2012709214</v>
      </c>
      <c r="Y46">
        <f>(AT46*ROUND(0.3,7))</f>
        <v>2.7809999999999997</v>
      </c>
      <c r="AA46">
        <v>0</v>
      </c>
      <c r="AB46">
        <v>0</v>
      </c>
      <c r="AC46">
        <v>0</v>
      </c>
      <c r="AD46">
        <v>479.56</v>
      </c>
      <c r="AE46">
        <v>0</v>
      </c>
      <c r="AF46">
        <v>0</v>
      </c>
      <c r="AG46">
        <v>0</v>
      </c>
      <c r="AH46">
        <v>479.56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0</v>
      </c>
      <c r="AP46">
        <v>1</v>
      </c>
      <c r="AQ46">
        <v>1</v>
      </c>
      <c r="AR46">
        <v>0</v>
      </c>
      <c r="AS46" t="s">
        <v>3</v>
      </c>
      <c r="AT46">
        <v>9.27</v>
      </c>
      <c r="AU46" t="s">
        <v>112</v>
      </c>
      <c r="AV46">
        <v>1</v>
      </c>
      <c r="AW46">
        <v>2</v>
      </c>
      <c r="AX46">
        <v>65178927</v>
      </c>
      <c r="AY46">
        <v>1</v>
      </c>
      <c r="AZ46">
        <v>0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4445.5212000000001</v>
      </c>
      <c r="BN46">
        <v>9.27</v>
      </c>
      <c r="BO46">
        <v>0</v>
      </c>
      <c r="BP46">
        <v>1</v>
      </c>
      <c r="BQ46">
        <v>0</v>
      </c>
      <c r="BR46">
        <v>0</v>
      </c>
      <c r="BS46">
        <v>0</v>
      </c>
      <c r="BT46">
        <v>1333.6563599999999</v>
      </c>
      <c r="BU46">
        <v>2.7809999999999997</v>
      </c>
      <c r="BV46">
        <v>0</v>
      </c>
      <c r="BW46">
        <v>1</v>
      </c>
      <c r="CU46">
        <f>ROUND(AT46*Source!I71*AH46*AL46,2)</f>
        <v>5334.63</v>
      </c>
      <c r="CV46">
        <f>ROUND(Y46*Source!I71,7)</f>
        <v>3.3372000000000002</v>
      </c>
      <c r="CW46">
        <v>0</v>
      </c>
      <c r="CX46">
        <f>ROUND(Y46*Source!I71,7)</f>
        <v>3.3372000000000002</v>
      </c>
      <c r="CY46">
        <f>AD46</f>
        <v>479.56</v>
      </c>
      <c r="CZ46">
        <f>AH46</f>
        <v>479.56</v>
      </c>
      <c r="DA46">
        <f>AL46</f>
        <v>1</v>
      </c>
      <c r="DB46">
        <f>ROUND((ROUND(AT46*CZ46,2)*ROUND(0.3,7)),6)</f>
        <v>1333.6559999999999</v>
      </c>
      <c r="DC46">
        <f>ROUND((ROUND(AT46*AG46,2)*ROUND(0.3,7)),6)</f>
        <v>0</v>
      </c>
      <c r="DD46" t="s">
        <v>3</v>
      </c>
      <c r="DE46" t="s">
        <v>3</v>
      </c>
      <c r="DF46">
        <f t="shared" si="15"/>
        <v>0</v>
      </c>
      <c r="DG46">
        <f t="shared" si="13"/>
        <v>0</v>
      </c>
      <c r="DH46">
        <f t="shared" si="7"/>
        <v>0</v>
      </c>
      <c r="DI46">
        <f t="shared" si="8"/>
        <v>1600.39</v>
      </c>
      <c r="DJ46">
        <f>DI46</f>
        <v>1600.39</v>
      </c>
      <c r="DK46">
        <v>1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ROW(Source!A71)</f>
        <v>71</v>
      </c>
      <c r="B47">
        <v>65178645</v>
      </c>
      <c r="C47">
        <v>65178918</v>
      </c>
      <c r="D47">
        <v>37064876</v>
      </c>
      <c r="E47">
        <v>108</v>
      </c>
      <c r="F47">
        <v>1</v>
      </c>
      <c r="G47">
        <v>1</v>
      </c>
      <c r="H47">
        <v>1</v>
      </c>
      <c r="I47" t="s">
        <v>373</v>
      </c>
      <c r="J47" t="s">
        <v>3</v>
      </c>
      <c r="K47" t="s">
        <v>374</v>
      </c>
      <c r="L47">
        <v>1191</v>
      </c>
      <c r="N47">
        <v>1013</v>
      </c>
      <c r="O47" t="s">
        <v>372</v>
      </c>
      <c r="P47" t="s">
        <v>372</v>
      </c>
      <c r="Q47">
        <v>1</v>
      </c>
      <c r="W47">
        <v>0</v>
      </c>
      <c r="X47">
        <v>-1417349443</v>
      </c>
      <c r="Y47">
        <f>(AT47*ROUND(0.3,7))</f>
        <v>0.10200000000000001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1</v>
      </c>
      <c r="AQ47">
        <v>1</v>
      </c>
      <c r="AR47">
        <v>0</v>
      </c>
      <c r="AS47" t="s">
        <v>3</v>
      </c>
      <c r="AT47">
        <v>0.34</v>
      </c>
      <c r="AU47" t="s">
        <v>112</v>
      </c>
      <c r="AV47">
        <v>2</v>
      </c>
      <c r="AW47">
        <v>2</v>
      </c>
      <c r="AX47">
        <v>65178928</v>
      </c>
      <c r="AY47">
        <v>1</v>
      </c>
      <c r="AZ47">
        <v>0</v>
      </c>
      <c r="BA47">
        <v>47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ROUND(Y47*Source!I71,7)</f>
        <v>0.12239999999999999</v>
      </c>
      <c r="CY47">
        <f>AD47</f>
        <v>0</v>
      </c>
      <c r="CZ47">
        <f>AH47</f>
        <v>0</v>
      </c>
      <c r="DA47">
        <f>AL47</f>
        <v>1</v>
      </c>
      <c r="DB47">
        <f>ROUND((ROUND(AT47*CZ47,2)*ROUND(0.3,7)),6)</f>
        <v>0</v>
      </c>
      <c r="DC47">
        <f>ROUND((ROUND(AT47*AG47,2)*ROUND(0.3,7)),6)</f>
        <v>0</v>
      </c>
      <c r="DD47" t="s">
        <v>3</v>
      </c>
      <c r="DE47" t="s">
        <v>3</v>
      </c>
      <c r="DF47">
        <f t="shared" si="15"/>
        <v>0</v>
      </c>
      <c r="DG47">
        <f t="shared" si="13"/>
        <v>0</v>
      </c>
      <c r="DH47">
        <f t="shared" si="7"/>
        <v>0</v>
      </c>
      <c r="DI47">
        <f t="shared" si="8"/>
        <v>0</v>
      </c>
      <c r="DJ47">
        <f>DI47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ROW(Source!A71)</f>
        <v>71</v>
      </c>
      <c r="B48">
        <v>65178645</v>
      </c>
      <c r="C48">
        <v>65178918</v>
      </c>
      <c r="D48">
        <v>56571417</v>
      </c>
      <c r="E48">
        <v>1</v>
      </c>
      <c r="F48">
        <v>1</v>
      </c>
      <c r="G48">
        <v>1</v>
      </c>
      <c r="H48">
        <v>2</v>
      </c>
      <c r="I48" t="s">
        <v>386</v>
      </c>
      <c r="J48" t="s">
        <v>387</v>
      </c>
      <c r="K48" t="s">
        <v>388</v>
      </c>
      <c r="L48">
        <v>1368</v>
      </c>
      <c r="N48">
        <v>1011</v>
      </c>
      <c r="O48" t="s">
        <v>378</v>
      </c>
      <c r="P48" t="s">
        <v>378</v>
      </c>
      <c r="Q48">
        <v>1</v>
      </c>
      <c r="W48">
        <v>0</v>
      </c>
      <c r="X48">
        <v>-848025172</v>
      </c>
      <c r="Y48">
        <f>(AT48*ROUND(0.3,7))</f>
        <v>5.1000000000000004E-2</v>
      </c>
      <c r="AA48">
        <v>0</v>
      </c>
      <c r="AB48">
        <v>1551.19</v>
      </c>
      <c r="AC48">
        <v>658.94</v>
      </c>
      <c r="AD48">
        <v>0</v>
      </c>
      <c r="AE48">
        <v>0</v>
      </c>
      <c r="AF48">
        <v>1551.19</v>
      </c>
      <c r="AG48">
        <v>658.94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3</v>
      </c>
      <c r="AT48">
        <v>0.17</v>
      </c>
      <c r="AU48" t="s">
        <v>112</v>
      </c>
      <c r="AV48">
        <v>1</v>
      </c>
      <c r="AW48">
        <v>2</v>
      </c>
      <c r="AX48">
        <v>65178929</v>
      </c>
      <c r="AY48">
        <v>1</v>
      </c>
      <c r="AZ48">
        <v>0</v>
      </c>
      <c r="BA48">
        <v>48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263.70230000000004</v>
      </c>
      <c r="BL48">
        <v>112.01980000000002</v>
      </c>
      <c r="BM48">
        <v>0</v>
      </c>
      <c r="BN48">
        <v>0</v>
      </c>
      <c r="BO48">
        <v>0.17</v>
      </c>
      <c r="BP48">
        <v>1</v>
      </c>
      <c r="BQ48">
        <v>0</v>
      </c>
      <c r="BR48">
        <v>79.110690000000005</v>
      </c>
      <c r="BS48">
        <v>33.605940000000004</v>
      </c>
      <c r="BT48">
        <v>0</v>
      </c>
      <c r="BU48">
        <v>0</v>
      </c>
      <c r="BV48">
        <v>5.1000000000000004E-2</v>
      </c>
      <c r="BW48">
        <v>1</v>
      </c>
      <c r="CV48">
        <v>0</v>
      </c>
      <c r="CW48">
        <f>ROUND(Y48*Source!I71*DO48,7)</f>
        <v>6.1199999999999997E-2</v>
      </c>
      <c r="CX48">
        <f>ROUND(Y48*Source!I71,7)</f>
        <v>6.1199999999999997E-2</v>
      </c>
      <c r="CY48">
        <f>AB48</f>
        <v>1551.19</v>
      </c>
      <c r="CZ48">
        <f>AF48</f>
        <v>1551.19</v>
      </c>
      <c r="DA48">
        <f>AJ48</f>
        <v>1</v>
      </c>
      <c r="DB48">
        <f>ROUND((ROUND(AT48*CZ48,2)*ROUND(0.3,7)),6)</f>
        <v>79.11</v>
      </c>
      <c r="DC48">
        <f>ROUND((ROUND(AT48*AG48,2)*ROUND(0.3,7)),6)</f>
        <v>33.606000000000002</v>
      </c>
      <c r="DD48" t="s">
        <v>3</v>
      </c>
      <c r="DE48" t="s">
        <v>3</v>
      </c>
      <c r="DF48">
        <f t="shared" si="15"/>
        <v>0</v>
      </c>
      <c r="DG48">
        <f t="shared" si="13"/>
        <v>94.93</v>
      </c>
      <c r="DH48">
        <f t="shared" si="7"/>
        <v>40.33</v>
      </c>
      <c r="DI48">
        <f t="shared" si="8"/>
        <v>0</v>
      </c>
      <c r="DJ48">
        <f>DG48+DH48</f>
        <v>135.26</v>
      </c>
      <c r="DK48">
        <v>1</v>
      </c>
      <c r="DL48" t="s">
        <v>389</v>
      </c>
      <c r="DM48">
        <v>6</v>
      </c>
      <c r="DN48" t="s">
        <v>372</v>
      </c>
      <c r="DO48">
        <v>1</v>
      </c>
    </row>
    <row r="49" spans="1:119" x14ac:dyDescent="0.2">
      <c r="A49">
        <f>ROW(Source!A71)</f>
        <v>71</v>
      </c>
      <c r="B49">
        <v>65178645</v>
      </c>
      <c r="C49">
        <v>65178918</v>
      </c>
      <c r="D49">
        <v>56572833</v>
      </c>
      <c r="E49">
        <v>1</v>
      </c>
      <c r="F49">
        <v>1</v>
      </c>
      <c r="G49">
        <v>1</v>
      </c>
      <c r="H49">
        <v>2</v>
      </c>
      <c r="I49" t="s">
        <v>380</v>
      </c>
      <c r="J49" t="s">
        <v>381</v>
      </c>
      <c r="K49" t="s">
        <v>382</v>
      </c>
      <c r="L49">
        <v>1368</v>
      </c>
      <c r="N49">
        <v>1011</v>
      </c>
      <c r="O49" t="s">
        <v>378</v>
      </c>
      <c r="P49" t="s">
        <v>378</v>
      </c>
      <c r="Q49">
        <v>1</v>
      </c>
      <c r="W49">
        <v>0</v>
      </c>
      <c r="X49">
        <v>1230426758</v>
      </c>
      <c r="Y49">
        <f>(AT49*ROUND(0.3,7))</f>
        <v>5.1000000000000004E-2</v>
      </c>
      <c r="AA49">
        <v>0</v>
      </c>
      <c r="AB49">
        <v>578.28</v>
      </c>
      <c r="AC49">
        <v>490.55</v>
      </c>
      <c r="AD49">
        <v>0</v>
      </c>
      <c r="AE49">
        <v>0</v>
      </c>
      <c r="AF49">
        <v>477.92</v>
      </c>
      <c r="AG49">
        <v>490.55</v>
      </c>
      <c r="AH49">
        <v>0</v>
      </c>
      <c r="AI49">
        <v>1</v>
      </c>
      <c r="AJ49">
        <v>1.21</v>
      </c>
      <c r="AK49">
        <v>1</v>
      </c>
      <c r="AL49">
        <v>1</v>
      </c>
      <c r="AM49">
        <v>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3</v>
      </c>
      <c r="AT49">
        <v>0.17</v>
      </c>
      <c r="AU49" t="s">
        <v>112</v>
      </c>
      <c r="AV49">
        <v>1</v>
      </c>
      <c r="AW49">
        <v>2</v>
      </c>
      <c r="AX49">
        <v>65178930</v>
      </c>
      <c r="AY49">
        <v>1</v>
      </c>
      <c r="AZ49">
        <v>0</v>
      </c>
      <c r="BA49">
        <v>49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81.246400000000008</v>
      </c>
      <c r="BL49">
        <v>83.393500000000003</v>
      </c>
      <c r="BM49">
        <v>0</v>
      </c>
      <c r="BN49">
        <v>0</v>
      </c>
      <c r="BO49">
        <v>0.17</v>
      </c>
      <c r="BP49">
        <v>1</v>
      </c>
      <c r="BQ49">
        <v>0</v>
      </c>
      <c r="BR49">
        <v>24.373920000000002</v>
      </c>
      <c r="BS49">
        <v>25.018050000000002</v>
      </c>
      <c r="BT49">
        <v>0</v>
      </c>
      <c r="BU49">
        <v>0</v>
      </c>
      <c r="BV49">
        <v>5.1000000000000004E-2</v>
      </c>
      <c r="BW49">
        <v>1</v>
      </c>
      <c r="CV49">
        <v>0</v>
      </c>
      <c r="CW49">
        <f>ROUND(Y49*Source!I71*DO49,7)</f>
        <v>6.1199999999999997E-2</v>
      </c>
      <c r="CX49">
        <f>ROUND(Y49*Source!I71,7)</f>
        <v>6.1199999999999997E-2</v>
      </c>
      <c r="CY49">
        <f>AB49</f>
        <v>578.28</v>
      </c>
      <c r="CZ49">
        <f>AF49</f>
        <v>477.92</v>
      </c>
      <c r="DA49">
        <f>AJ49</f>
        <v>1.21</v>
      </c>
      <c r="DB49">
        <f>ROUND((ROUND(AT49*CZ49,2)*ROUND(0.3,7)),6)</f>
        <v>24.375</v>
      </c>
      <c r="DC49">
        <f>ROUND((ROUND(AT49*AG49,2)*ROUND(0.3,7)),6)</f>
        <v>25.016999999999999</v>
      </c>
      <c r="DD49" t="s">
        <v>3</v>
      </c>
      <c r="DE49" t="s">
        <v>3</v>
      </c>
      <c r="DF49">
        <f t="shared" si="15"/>
        <v>0</v>
      </c>
      <c r="DG49">
        <f>ROUND(ROUND(AF49*AJ49,2)*CX49,2)</f>
        <v>35.39</v>
      </c>
      <c r="DH49">
        <f t="shared" si="7"/>
        <v>30.02</v>
      </c>
      <c r="DI49">
        <f t="shared" si="8"/>
        <v>0</v>
      </c>
      <c r="DJ49">
        <f>DG49+DH49</f>
        <v>65.41</v>
      </c>
      <c r="DK49">
        <v>0</v>
      </c>
      <c r="DL49" t="s">
        <v>383</v>
      </c>
      <c r="DM49">
        <v>4</v>
      </c>
      <c r="DN49" t="s">
        <v>372</v>
      </c>
      <c r="DO49">
        <v>1</v>
      </c>
    </row>
    <row r="50" spans="1:119" x14ac:dyDescent="0.2">
      <c r="A50">
        <f>ROW(Source!A71)</f>
        <v>71</v>
      </c>
      <c r="B50">
        <v>65178645</v>
      </c>
      <c r="C50">
        <v>65178918</v>
      </c>
      <c r="D50">
        <v>56573153</v>
      </c>
      <c r="E50">
        <v>1</v>
      </c>
      <c r="F50">
        <v>1</v>
      </c>
      <c r="G50">
        <v>1</v>
      </c>
      <c r="H50">
        <v>2</v>
      </c>
      <c r="I50" t="s">
        <v>435</v>
      </c>
      <c r="J50" t="s">
        <v>436</v>
      </c>
      <c r="K50" t="s">
        <v>437</v>
      </c>
      <c r="L50">
        <v>1368</v>
      </c>
      <c r="N50">
        <v>1011</v>
      </c>
      <c r="O50" t="s">
        <v>378</v>
      </c>
      <c r="P50" t="s">
        <v>378</v>
      </c>
      <c r="Q50">
        <v>1</v>
      </c>
      <c r="W50">
        <v>0</v>
      </c>
      <c r="X50">
        <v>1280601743</v>
      </c>
      <c r="Y50">
        <f>(AT50*ROUND(0.3,7))</f>
        <v>0.45299999999999996</v>
      </c>
      <c r="AA50">
        <v>0</v>
      </c>
      <c r="AB50">
        <v>26.32</v>
      </c>
      <c r="AC50">
        <v>0</v>
      </c>
      <c r="AD50">
        <v>0</v>
      </c>
      <c r="AE50">
        <v>0</v>
      </c>
      <c r="AF50">
        <v>26.32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1</v>
      </c>
      <c r="AQ50">
        <v>1</v>
      </c>
      <c r="AR50">
        <v>0</v>
      </c>
      <c r="AS50" t="s">
        <v>3</v>
      </c>
      <c r="AT50">
        <v>1.51</v>
      </c>
      <c r="AU50" t="s">
        <v>112</v>
      </c>
      <c r="AV50">
        <v>1</v>
      </c>
      <c r="AW50">
        <v>2</v>
      </c>
      <c r="AX50">
        <v>65178931</v>
      </c>
      <c r="AY50">
        <v>1</v>
      </c>
      <c r="AZ50">
        <v>0</v>
      </c>
      <c r="BA50">
        <v>50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39.743200000000002</v>
      </c>
      <c r="BL50">
        <v>0</v>
      </c>
      <c r="BM50">
        <v>0</v>
      </c>
      <c r="BN50">
        <v>0</v>
      </c>
      <c r="BO50">
        <v>0</v>
      </c>
      <c r="BP50">
        <v>1</v>
      </c>
      <c r="BQ50">
        <v>0</v>
      </c>
      <c r="BR50">
        <v>11.92296</v>
      </c>
      <c r="BS50">
        <v>0</v>
      </c>
      <c r="BT50">
        <v>0</v>
      </c>
      <c r="BU50">
        <v>0</v>
      </c>
      <c r="BV50">
        <v>0</v>
      </c>
      <c r="BW50">
        <v>1</v>
      </c>
      <c r="CV50">
        <v>0</v>
      </c>
      <c r="CW50">
        <f>ROUND(Y50*Source!I71*DO50,7)</f>
        <v>0</v>
      </c>
      <c r="CX50">
        <f>ROUND(Y50*Source!I71,7)</f>
        <v>0.54359999999999997</v>
      </c>
      <c r="CY50">
        <f>AB50</f>
        <v>26.32</v>
      </c>
      <c r="CZ50">
        <f>AF50</f>
        <v>26.32</v>
      </c>
      <c r="DA50">
        <f>AJ50</f>
        <v>1</v>
      </c>
      <c r="DB50">
        <f>ROUND((ROUND(AT50*CZ50,2)*ROUND(0.3,7)),6)</f>
        <v>11.922000000000001</v>
      </c>
      <c r="DC50">
        <f>ROUND((ROUND(AT50*AG50,2)*ROUND(0.3,7)),6)</f>
        <v>0</v>
      </c>
      <c r="DD50" t="s">
        <v>3</v>
      </c>
      <c r="DE50" t="s">
        <v>3</v>
      </c>
      <c r="DF50">
        <f t="shared" si="15"/>
        <v>0</v>
      </c>
      <c r="DG50">
        <f t="shared" ref="DG50:DG56" si="16">ROUND(ROUND(AF50,2)*CX50,2)</f>
        <v>14.31</v>
      </c>
      <c r="DH50">
        <f t="shared" si="7"/>
        <v>0</v>
      </c>
      <c r="DI50">
        <f t="shared" si="8"/>
        <v>0</v>
      </c>
      <c r="DJ50">
        <f>DG50+DH50</f>
        <v>14.31</v>
      </c>
      <c r="DK50">
        <v>1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ROW(Source!A71)</f>
        <v>71</v>
      </c>
      <c r="B51">
        <v>65178645</v>
      </c>
      <c r="C51">
        <v>65178918</v>
      </c>
      <c r="D51">
        <v>56579266</v>
      </c>
      <c r="E51">
        <v>1</v>
      </c>
      <c r="F51">
        <v>1</v>
      </c>
      <c r="G51">
        <v>1</v>
      </c>
      <c r="H51">
        <v>3</v>
      </c>
      <c r="I51" t="s">
        <v>438</v>
      </c>
      <c r="J51" t="s">
        <v>439</v>
      </c>
      <c r="K51" t="s">
        <v>440</v>
      </c>
      <c r="L51">
        <v>1346</v>
      </c>
      <c r="N51">
        <v>1009</v>
      </c>
      <c r="O51" t="s">
        <v>253</v>
      </c>
      <c r="P51" t="s">
        <v>253</v>
      </c>
      <c r="Q51">
        <v>1</v>
      </c>
      <c r="W51">
        <v>0</v>
      </c>
      <c r="X51">
        <v>-1545686836</v>
      </c>
      <c r="Y51">
        <f>(AT51*ROUND(0,7))</f>
        <v>0</v>
      </c>
      <c r="AA51">
        <v>147.85</v>
      </c>
      <c r="AB51">
        <v>0</v>
      </c>
      <c r="AC51">
        <v>0</v>
      </c>
      <c r="AD51">
        <v>0</v>
      </c>
      <c r="AE51">
        <v>155.63</v>
      </c>
      <c r="AF51">
        <v>0</v>
      </c>
      <c r="AG51">
        <v>0</v>
      </c>
      <c r="AH51">
        <v>0</v>
      </c>
      <c r="AI51">
        <v>0.95</v>
      </c>
      <c r="AJ51">
        <v>1</v>
      </c>
      <c r="AK51">
        <v>1</v>
      </c>
      <c r="AL51">
        <v>1</v>
      </c>
      <c r="AM51">
        <v>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3</v>
      </c>
      <c r="AT51">
        <v>0.65</v>
      </c>
      <c r="AU51" t="s">
        <v>111</v>
      </c>
      <c r="AV51">
        <v>0</v>
      </c>
      <c r="AW51">
        <v>2</v>
      </c>
      <c r="AX51">
        <v>65178932</v>
      </c>
      <c r="AY51">
        <v>1</v>
      </c>
      <c r="AZ51">
        <v>0</v>
      </c>
      <c r="BA51">
        <v>51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101.15949999999999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1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ROUND(Y51*Source!I71,7)</f>
        <v>0</v>
      </c>
      <c r="CY51">
        <f>AA51</f>
        <v>147.85</v>
      </c>
      <c r="CZ51">
        <f>AE51</f>
        <v>155.63</v>
      </c>
      <c r="DA51">
        <f>AI51</f>
        <v>0.95</v>
      </c>
      <c r="DB51">
        <f>ROUND((ROUND(AT51*CZ51,2)*ROUND(0,7)),6)</f>
        <v>0</v>
      </c>
      <c r="DC51">
        <f>ROUND((ROUND(AT51*AG51,2)*ROUND(0,7)),6)</f>
        <v>0</v>
      </c>
      <c r="DD51" t="s">
        <v>3</v>
      </c>
      <c r="DE51" t="s">
        <v>3</v>
      </c>
      <c r="DF51">
        <f>ROUND(ROUND(AE51*AI51,2)*CX51,2)</f>
        <v>0</v>
      </c>
      <c r="DG51">
        <f t="shared" si="16"/>
        <v>0</v>
      </c>
      <c r="DH51">
        <f t="shared" si="7"/>
        <v>0</v>
      </c>
      <c r="DI51">
        <f t="shared" si="8"/>
        <v>0</v>
      </c>
      <c r="DJ51">
        <f>DF51</f>
        <v>0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ROW(Source!A71)</f>
        <v>71</v>
      </c>
      <c r="B52">
        <v>65178645</v>
      </c>
      <c r="C52">
        <v>65178918</v>
      </c>
      <c r="D52">
        <v>56609983</v>
      </c>
      <c r="E52">
        <v>1</v>
      </c>
      <c r="F52">
        <v>1</v>
      </c>
      <c r="G52">
        <v>1</v>
      </c>
      <c r="H52">
        <v>3</v>
      </c>
      <c r="I52" t="s">
        <v>441</v>
      </c>
      <c r="J52" t="s">
        <v>442</v>
      </c>
      <c r="K52" t="s">
        <v>443</v>
      </c>
      <c r="L52">
        <v>1346</v>
      </c>
      <c r="N52">
        <v>1009</v>
      </c>
      <c r="O52" t="s">
        <v>253</v>
      </c>
      <c r="P52" t="s">
        <v>253</v>
      </c>
      <c r="Q52">
        <v>1</v>
      </c>
      <c r="W52">
        <v>0</v>
      </c>
      <c r="X52">
        <v>4985900</v>
      </c>
      <c r="Y52">
        <f>(AT52*ROUND(0,7))</f>
        <v>0</v>
      </c>
      <c r="AA52">
        <v>1121.22</v>
      </c>
      <c r="AB52">
        <v>0</v>
      </c>
      <c r="AC52">
        <v>0</v>
      </c>
      <c r="AD52">
        <v>0</v>
      </c>
      <c r="AE52">
        <v>911.56</v>
      </c>
      <c r="AF52">
        <v>0</v>
      </c>
      <c r="AG52">
        <v>0</v>
      </c>
      <c r="AH52">
        <v>0</v>
      </c>
      <c r="AI52">
        <v>1.23</v>
      </c>
      <c r="AJ52">
        <v>1</v>
      </c>
      <c r="AK52">
        <v>1</v>
      </c>
      <c r="AL52">
        <v>1</v>
      </c>
      <c r="AM52">
        <v>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3</v>
      </c>
      <c r="AT52">
        <v>2</v>
      </c>
      <c r="AU52" t="s">
        <v>111</v>
      </c>
      <c r="AV52">
        <v>0</v>
      </c>
      <c r="AW52">
        <v>2</v>
      </c>
      <c r="AX52">
        <v>65178933</v>
      </c>
      <c r="AY52">
        <v>1</v>
      </c>
      <c r="AZ52">
        <v>0</v>
      </c>
      <c r="BA52">
        <v>52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1823.12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1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ROUND(Y52*Source!I71,7)</f>
        <v>0</v>
      </c>
      <c r="CY52">
        <f>AA52</f>
        <v>1121.22</v>
      </c>
      <c r="CZ52">
        <f>AE52</f>
        <v>911.56</v>
      </c>
      <c r="DA52">
        <f>AI52</f>
        <v>1.23</v>
      </c>
      <c r="DB52">
        <f>ROUND((ROUND(AT52*CZ52,2)*ROUND(0,7)),6)</f>
        <v>0</v>
      </c>
      <c r="DC52">
        <f>ROUND((ROUND(AT52*AG52,2)*ROUND(0,7)),6)</f>
        <v>0</v>
      </c>
      <c r="DD52" t="s">
        <v>3</v>
      </c>
      <c r="DE52" t="s">
        <v>3</v>
      </c>
      <c r="DF52">
        <f>ROUND(ROUND(AE52*AI52,2)*CX52,2)</f>
        <v>0</v>
      </c>
      <c r="DG52">
        <f t="shared" si="16"/>
        <v>0</v>
      </c>
      <c r="DH52">
        <f t="shared" si="7"/>
        <v>0</v>
      </c>
      <c r="DI52">
        <f t="shared" si="8"/>
        <v>0</v>
      </c>
      <c r="DJ52">
        <f>DF52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ROW(Source!A71)</f>
        <v>71</v>
      </c>
      <c r="B53">
        <v>65178645</v>
      </c>
      <c r="C53">
        <v>65178918</v>
      </c>
      <c r="D53">
        <v>56223463</v>
      </c>
      <c r="E53">
        <v>108</v>
      </c>
      <c r="F53">
        <v>1</v>
      </c>
      <c r="G53">
        <v>1</v>
      </c>
      <c r="H53">
        <v>3</v>
      </c>
      <c r="I53" t="s">
        <v>406</v>
      </c>
      <c r="J53" t="s">
        <v>3</v>
      </c>
      <c r="K53" t="s">
        <v>407</v>
      </c>
      <c r="L53">
        <v>3277935</v>
      </c>
      <c r="N53">
        <v>1013</v>
      </c>
      <c r="O53" t="s">
        <v>408</v>
      </c>
      <c r="P53" t="s">
        <v>408</v>
      </c>
      <c r="Q53">
        <v>1</v>
      </c>
      <c r="W53">
        <v>0</v>
      </c>
      <c r="X53">
        <v>274903907</v>
      </c>
      <c r="Y53">
        <f>AT53</f>
        <v>2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0</v>
      </c>
      <c r="AP53">
        <v>0</v>
      </c>
      <c r="AQ53">
        <v>1</v>
      </c>
      <c r="AR53">
        <v>0</v>
      </c>
      <c r="AS53" t="s">
        <v>3</v>
      </c>
      <c r="AT53">
        <v>2</v>
      </c>
      <c r="AU53" t="s">
        <v>3</v>
      </c>
      <c r="AV53">
        <v>0</v>
      </c>
      <c r="AW53">
        <v>2</v>
      </c>
      <c r="AX53">
        <v>65178934</v>
      </c>
      <c r="AY53">
        <v>1</v>
      </c>
      <c r="AZ53">
        <v>2048</v>
      </c>
      <c r="BA53">
        <v>53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ROUND(Y53*Source!I71,7)</f>
        <v>2.4</v>
      </c>
      <c r="CY53">
        <f>AA53</f>
        <v>0</v>
      </c>
      <c r="CZ53">
        <f>AE53</f>
        <v>0</v>
      </c>
      <c r="DA53">
        <f>AI53</f>
        <v>1</v>
      </c>
      <c r="DB53">
        <f>ROUND(ROUND(AT53*CZ53,2),6)</f>
        <v>0</v>
      </c>
      <c r="DC53">
        <f>ROUND(ROUND(AT53*AG53,2),6)</f>
        <v>0</v>
      </c>
      <c r="DD53" t="s">
        <v>3</v>
      </c>
      <c r="DE53" t="s">
        <v>3</v>
      </c>
      <c r="DF53">
        <f t="shared" ref="DF53:DF58" si="17">ROUND(ROUND(AE53,2)*CX53,2)</f>
        <v>0</v>
      </c>
      <c r="DG53">
        <f t="shared" si="16"/>
        <v>0</v>
      </c>
      <c r="DH53">
        <f t="shared" si="7"/>
        <v>0</v>
      </c>
      <c r="DI53">
        <f t="shared" si="8"/>
        <v>0</v>
      </c>
      <c r="DJ53">
        <f>DF53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ROW(Source!A72)</f>
        <v>72</v>
      </c>
      <c r="B54">
        <v>65178645</v>
      </c>
      <c r="C54">
        <v>65178935</v>
      </c>
      <c r="D54">
        <v>37064878</v>
      </c>
      <c r="E54">
        <v>108</v>
      </c>
      <c r="F54">
        <v>1</v>
      </c>
      <c r="G54">
        <v>1</v>
      </c>
      <c r="H54">
        <v>1</v>
      </c>
      <c r="I54" t="s">
        <v>433</v>
      </c>
      <c r="J54" t="s">
        <v>3</v>
      </c>
      <c r="K54" t="s">
        <v>434</v>
      </c>
      <c r="L54">
        <v>1191</v>
      </c>
      <c r="N54">
        <v>1013</v>
      </c>
      <c r="O54" t="s">
        <v>372</v>
      </c>
      <c r="P54" t="s">
        <v>372</v>
      </c>
      <c r="Q54">
        <v>1</v>
      </c>
      <c r="W54">
        <v>0</v>
      </c>
      <c r="X54">
        <v>-2012709214</v>
      </c>
      <c r="Y54">
        <f>(AT54*ROUND(0.3,7))</f>
        <v>5.55</v>
      </c>
      <c r="AA54">
        <v>0</v>
      </c>
      <c r="AB54">
        <v>0</v>
      </c>
      <c r="AC54">
        <v>0</v>
      </c>
      <c r="AD54">
        <v>479.56</v>
      </c>
      <c r="AE54">
        <v>0</v>
      </c>
      <c r="AF54">
        <v>0</v>
      </c>
      <c r="AG54">
        <v>0</v>
      </c>
      <c r="AH54">
        <v>479.56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3</v>
      </c>
      <c r="AT54">
        <v>18.5</v>
      </c>
      <c r="AU54" t="s">
        <v>112</v>
      </c>
      <c r="AV54">
        <v>1</v>
      </c>
      <c r="AW54">
        <v>2</v>
      </c>
      <c r="AX54">
        <v>65178945</v>
      </c>
      <c r="AY54">
        <v>1</v>
      </c>
      <c r="AZ54">
        <v>0</v>
      </c>
      <c r="BA54">
        <v>54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8871.86</v>
      </c>
      <c r="BN54">
        <v>18.5</v>
      </c>
      <c r="BO54">
        <v>0</v>
      </c>
      <c r="BP54">
        <v>1</v>
      </c>
      <c r="BQ54">
        <v>0</v>
      </c>
      <c r="BR54">
        <v>0</v>
      </c>
      <c r="BS54">
        <v>0</v>
      </c>
      <c r="BT54">
        <v>2661.558</v>
      </c>
      <c r="BU54">
        <v>5.55</v>
      </c>
      <c r="BV54">
        <v>0</v>
      </c>
      <c r="BW54">
        <v>1</v>
      </c>
      <c r="CU54">
        <f>ROUND(AT54*Source!I72*AH54*AL54,2)</f>
        <v>9581.61</v>
      </c>
      <c r="CV54">
        <f>ROUND(Y54*Source!I72,7)</f>
        <v>5.9939999999999998</v>
      </c>
      <c r="CW54">
        <v>0</v>
      </c>
      <c r="CX54">
        <f>ROUND(Y54*Source!I72,7)</f>
        <v>5.9939999999999998</v>
      </c>
      <c r="CY54">
        <f>AD54</f>
        <v>479.56</v>
      </c>
      <c r="CZ54">
        <f>AH54</f>
        <v>479.56</v>
      </c>
      <c r="DA54">
        <f>AL54</f>
        <v>1</v>
      </c>
      <c r="DB54">
        <f>ROUND((ROUND(AT54*CZ54,2)*ROUND(0.3,7)),6)</f>
        <v>2661.558</v>
      </c>
      <c r="DC54">
        <f>ROUND((ROUND(AT54*AG54,2)*ROUND(0.3,7)),6)</f>
        <v>0</v>
      </c>
      <c r="DD54" t="s">
        <v>3</v>
      </c>
      <c r="DE54" t="s">
        <v>3</v>
      </c>
      <c r="DF54">
        <f t="shared" si="17"/>
        <v>0</v>
      </c>
      <c r="DG54">
        <f t="shared" si="16"/>
        <v>0</v>
      </c>
      <c r="DH54">
        <f t="shared" si="7"/>
        <v>0</v>
      </c>
      <c r="DI54">
        <f t="shared" si="8"/>
        <v>2874.48</v>
      </c>
      <c r="DJ54">
        <f>DI54</f>
        <v>2874.48</v>
      </c>
      <c r="DK54">
        <v>1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ROW(Source!A72)</f>
        <v>72</v>
      </c>
      <c r="B55">
        <v>65178645</v>
      </c>
      <c r="C55">
        <v>65178935</v>
      </c>
      <c r="D55">
        <v>37064876</v>
      </c>
      <c r="E55">
        <v>108</v>
      </c>
      <c r="F55">
        <v>1</v>
      </c>
      <c r="G55">
        <v>1</v>
      </c>
      <c r="H55">
        <v>1</v>
      </c>
      <c r="I55" t="s">
        <v>373</v>
      </c>
      <c r="J55" t="s">
        <v>3</v>
      </c>
      <c r="K55" t="s">
        <v>374</v>
      </c>
      <c r="L55">
        <v>1191</v>
      </c>
      <c r="N55">
        <v>1013</v>
      </c>
      <c r="O55" t="s">
        <v>372</v>
      </c>
      <c r="P55" t="s">
        <v>372</v>
      </c>
      <c r="Q55">
        <v>1</v>
      </c>
      <c r="W55">
        <v>0</v>
      </c>
      <c r="X55">
        <v>-1417349443</v>
      </c>
      <c r="Y55">
        <f>(AT55*ROUND(0.3,7))</f>
        <v>0.10200000000000001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0</v>
      </c>
      <c r="AP55">
        <v>1</v>
      </c>
      <c r="AQ55">
        <v>1</v>
      </c>
      <c r="AR55">
        <v>0</v>
      </c>
      <c r="AS55" t="s">
        <v>3</v>
      </c>
      <c r="AT55">
        <v>0.34</v>
      </c>
      <c r="AU55" t="s">
        <v>112</v>
      </c>
      <c r="AV55">
        <v>2</v>
      </c>
      <c r="AW55">
        <v>2</v>
      </c>
      <c r="AX55">
        <v>65178946</v>
      </c>
      <c r="AY55">
        <v>1</v>
      </c>
      <c r="AZ55">
        <v>0</v>
      </c>
      <c r="BA55">
        <v>55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ROUND(Y55*Source!I72,7)</f>
        <v>0.11015999999999999</v>
      </c>
      <c r="CY55">
        <f>AD55</f>
        <v>0</v>
      </c>
      <c r="CZ55">
        <f>AH55</f>
        <v>0</v>
      </c>
      <c r="DA55">
        <f>AL55</f>
        <v>1</v>
      </c>
      <c r="DB55">
        <f>ROUND((ROUND(AT55*CZ55,2)*ROUND(0.3,7)),6)</f>
        <v>0</v>
      </c>
      <c r="DC55">
        <f>ROUND((ROUND(AT55*AG55,2)*ROUND(0.3,7)),6)</f>
        <v>0</v>
      </c>
      <c r="DD55" t="s">
        <v>3</v>
      </c>
      <c r="DE55" t="s">
        <v>3</v>
      </c>
      <c r="DF55">
        <f t="shared" si="17"/>
        <v>0</v>
      </c>
      <c r="DG55">
        <f t="shared" si="16"/>
        <v>0</v>
      </c>
      <c r="DH55">
        <f t="shared" si="7"/>
        <v>0</v>
      </c>
      <c r="DI55">
        <f t="shared" si="8"/>
        <v>0</v>
      </c>
      <c r="DJ55">
        <f>DI55</f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ROW(Source!A72)</f>
        <v>72</v>
      </c>
      <c r="B56">
        <v>65178645</v>
      </c>
      <c r="C56">
        <v>65178935</v>
      </c>
      <c r="D56">
        <v>56571417</v>
      </c>
      <c r="E56">
        <v>1</v>
      </c>
      <c r="F56">
        <v>1</v>
      </c>
      <c r="G56">
        <v>1</v>
      </c>
      <c r="H56">
        <v>2</v>
      </c>
      <c r="I56" t="s">
        <v>386</v>
      </c>
      <c r="J56" t="s">
        <v>387</v>
      </c>
      <c r="K56" t="s">
        <v>388</v>
      </c>
      <c r="L56">
        <v>1368</v>
      </c>
      <c r="N56">
        <v>1011</v>
      </c>
      <c r="O56" t="s">
        <v>378</v>
      </c>
      <c r="P56" t="s">
        <v>378</v>
      </c>
      <c r="Q56">
        <v>1</v>
      </c>
      <c r="W56">
        <v>0</v>
      </c>
      <c r="X56">
        <v>-848025172</v>
      </c>
      <c r="Y56">
        <f>(AT56*ROUND(0.3,7))</f>
        <v>5.1000000000000004E-2</v>
      </c>
      <c r="AA56">
        <v>0</v>
      </c>
      <c r="AB56">
        <v>1551.19</v>
      </c>
      <c r="AC56">
        <v>658.94</v>
      </c>
      <c r="AD56">
        <v>0</v>
      </c>
      <c r="AE56">
        <v>0</v>
      </c>
      <c r="AF56">
        <v>1551.19</v>
      </c>
      <c r="AG56">
        <v>658.94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3</v>
      </c>
      <c r="AT56">
        <v>0.17</v>
      </c>
      <c r="AU56" t="s">
        <v>112</v>
      </c>
      <c r="AV56">
        <v>1</v>
      </c>
      <c r="AW56">
        <v>2</v>
      </c>
      <c r="AX56">
        <v>65178947</v>
      </c>
      <c r="AY56">
        <v>1</v>
      </c>
      <c r="AZ56">
        <v>0</v>
      </c>
      <c r="BA56">
        <v>56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263.70230000000004</v>
      </c>
      <c r="BL56">
        <v>112.01980000000002</v>
      </c>
      <c r="BM56">
        <v>0</v>
      </c>
      <c r="BN56">
        <v>0</v>
      </c>
      <c r="BO56">
        <v>0.17</v>
      </c>
      <c r="BP56">
        <v>1</v>
      </c>
      <c r="BQ56">
        <v>0</v>
      </c>
      <c r="BR56">
        <v>79.110690000000005</v>
      </c>
      <c r="BS56">
        <v>33.605940000000004</v>
      </c>
      <c r="BT56">
        <v>0</v>
      </c>
      <c r="BU56">
        <v>0</v>
      </c>
      <c r="BV56">
        <v>5.1000000000000004E-2</v>
      </c>
      <c r="BW56">
        <v>1</v>
      </c>
      <c r="CV56">
        <v>0</v>
      </c>
      <c r="CW56">
        <f>ROUND(Y56*Source!I72*DO56,7)</f>
        <v>5.5079999999999997E-2</v>
      </c>
      <c r="CX56">
        <f>ROUND(Y56*Source!I72,7)</f>
        <v>5.5079999999999997E-2</v>
      </c>
      <c r="CY56">
        <f>AB56</f>
        <v>1551.19</v>
      </c>
      <c r="CZ56">
        <f>AF56</f>
        <v>1551.19</v>
      </c>
      <c r="DA56">
        <f>AJ56</f>
        <v>1</v>
      </c>
      <c r="DB56">
        <f>ROUND((ROUND(AT56*CZ56,2)*ROUND(0.3,7)),6)</f>
        <v>79.11</v>
      </c>
      <c r="DC56">
        <f>ROUND((ROUND(AT56*AG56,2)*ROUND(0.3,7)),6)</f>
        <v>33.606000000000002</v>
      </c>
      <c r="DD56" t="s">
        <v>3</v>
      </c>
      <c r="DE56" t="s">
        <v>3</v>
      </c>
      <c r="DF56">
        <f t="shared" si="17"/>
        <v>0</v>
      </c>
      <c r="DG56">
        <f t="shared" si="16"/>
        <v>85.44</v>
      </c>
      <c r="DH56">
        <f t="shared" si="7"/>
        <v>36.29</v>
      </c>
      <c r="DI56">
        <f t="shared" si="8"/>
        <v>0</v>
      </c>
      <c r="DJ56">
        <f>DG56+DH56</f>
        <v>121.72999999999999</v>
      </c>
      <c r="DK56">
        <v>1</v>
      </c>
      <c r="DL56" t="s">
        <v>389</v>
      </c>
      <c r="DM56">
        <v>6</v>
      </c>
      <c r="DN56" t="s">
        <v>372</v>
      </c>
      <c r="DO56">
        <v>1</v>
      </c>
    </row>
    <row r="57" spans="1:119" x14ac:dyDescent="0.2">
      <c r="A57">
        <f>ROW(Source!A72)</f>
        <v>72</v>
      </c>
      <c r="B57">
        <v>65178645</v>
      </c>
      <c r="C57">
        <v>65178935</v>
      </c>
      <c r="D57">
        <v>56572833</v>
      </c>
      <c r="E57">
        <v>1</v>
      </c>
      <c r="F57">
        <v>1</v>
      </c>
      <c r="G57">
        <v>1</v>
      </c>
      <c r="H57">
        <v>2</v>
      </c>
      <c r="I57" t="s">
        <v>380</v>
      </c>
      <c r="J57" t="s">
        <v>381</v>
      </c>
      <c r="K57" t="s">
        <v>382</v>
      </c>
      <c r="L57">
        <v>1368</v>
      </c>
      <c r="N57">
        <v>1011</v>
      </c>
      <c r="O57" t="s">
        <v>378</v>
      </c>
      <c r="P57" t="s">
        <v>378</v>
      </c>
      <c r="Q57">
        <v>1</v>
      </c>
      <c r="W57">
        <v>0</v>
      </c>
      <c r="X57">
        <v>1230426758</v>
      </c>
      <c r="Y57">
        <f>(AT57*ROUND(0.3,7))</f>
        <v>5.1000000000000004E-2</v>
      </c>
      <c r="AA57">
        <v>0</v>
      </c>
      <c r="AB57">
        <v>578.28</v>
      </c>
      <c r="AC57">
        <v>490.55</v>
      </c>
      <c r="AD57">
        <v>0</v>
      </c>
      <c r="AE57">
        <v>0</v>
      </c>
      <c r="AF57">
        <v>477.92</v>
      </c>
      <c r="AG57">
        <v>490.55</v>
      </c>
      <c r="AH57">
        <v>0</v>
      </c>
      <c r="AI57">
        <v>1</v>
      </c>
      <c r="AJ57">
        <v>1.21</v>
      </c>
      <c r="AK57">
        <v>1</v>
      </c>
      <c r="AL57">
        <v>1</v>
      </c>
      <c r="AM57">
        <v>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3</v>
      </c>
      <c r="AT57">
        <v>0.17</v>
      </c>
      <c r="AU57" t="s">
        <v>112</v>
      </c>
      <c r="AV57">
        <v>1</v>
      </c>
      <c r="AW57">
        <v>2</v>
      </c>
      <c r="AX57">
        <v>65178948</v>
      </c>
      <c r="AY57">
        <v>1</v>
      </c>
      <c r="AZ57">
        <v>0</v>
      </c>
      <c r="BA57">
        <v>57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81.246400000000008</v>
      </c>
      <c r="BL57">
        <v>83.393500000000003</v>
      </c>
      <c r="BM57">
        <v>0</v>
      </c>
      <c r="BN57">
        <v>0</v>
      </c>
      <c r="BO57">
        <v>0.17</v>
      </c>
      <c r="BP57">
        <v>1</v>
      </c>
      <c r="BQ57">
        <v>0</v>
      </c>
      <c r="BR57">
        <v>24.373920000000002</v>
      </c>
      <c r="BS57">
        <v>25.018050000000002</v>
      </c>
      <c r="BT57">
        <v>0</v>
      </c>
      <c r="BU57">
        <v>0</v>
      </c>
      <c r="BV57">
        <v>5.1000000000000004E-2</v>
      </c>
      <c r="BW57">
        <v>1</v>
      </c>
      <c r="CV57">
        <v>0</v>
      </c>
      <c r="CW57">
        <f>ROUND(Y57*Source!I72*DO57,7)</f>
        <v>5.5079999999999997E-2</v>
      </c>
      <c r="CX57">
        <f>ROUND(Y57*Source!I72,7)</f>
        <v>5.5079999999999997E-2</v>
      </c>
      <c r="CY57">
        <f>AB57</f>
        <v>578.28</v>
      </c>
      <c r="CZ57">
        <f>AF57</f>
        <v>477.92</v>
      </c>
      <c r="DA57">
        <f>AJ57</f>
        <v>1.21</v>
      </c>
      <c r="DB57">
        <f>ROUND((ROUND(AT57*CZ57,2)*ROUND(0.3,7)),6)</f>
        <v>24.375</v>
      </c>
      <c r="DC57">
        <f>ROUND((ROUND(AT57*AG57,2)*ROUND(0.3,7)),6)</f>
        <v>25.016999999999999</v>
      </c>
      <c r="DD57" t="s">
        <v>3</v>
      </c>
      <c r="DE57" t="s">
        <v>3</v>
      </c>
      <c r="DF57">
        <f t="shared" si="17"/>
        <v>0</v>
      </c>
      <c r="DG57">
        <f>ROUND(ROUND(AF57*AJ57,2)*CX57,2)</f>
        <v>31.85</v>
      </c>
      <c r="DH57">
        <f t="shared" si="7"/>
        <v>27.02</v>
      </c>
      <c r="DI57">
        <f t="shared" si="8"/>
        <v>0</v>
      </c>
      <c r="DJ57">
        <f>DG57+DH57</f>
        <v>58.870000000000005</v>
      </c>
      <c r="DK57">
        <v>0</v>
      </c>
      <c r="DL57" t="s">
        <v>383</v>
      </c>
      <c r="DM57">
        <v>4</v>
      </c>
      <c r="DN57" t="s">
        <v>372</v>
      </c>
      <c r="DO57">
        <v>1</v>
      </c>
    </row>
    <row r="58" spans="1:119" x14ac:dyDescent="0.2">
      <c r="A58">
        <f>ROW(Source!A72)</f>
        <v>72</v>
      </c>
      <c r="B58">
        <v>65178645</v>
      </c>
      <c r="C58">
        <v>65178935</v>
      </c>
      <c r="D58">
        <v>56573153</v>
      </c>
      <c r="E58">
        <v>1</v>
      </c>
      <c r="F58">
        <v>1</v>
      </c>
      <c r="G58">
        <v>1</v>
      </c>
      <c r="H58">
        <v>2</v>
      </c>
      <c r="I58" t="s">
        <v>435</v>
      </c>
      <c r="J58" t="s">
        <v>436</v>
      </c>
      <c r="K58" t="s">
        <v>437</v>
      </c>
      <c r="L58">
        <v>1368</v>
      </c>
      <c r="N58">
        <v>1011</v>
      </c>
      <c r="O58" t="s">
        <v>378</v>
      </c>
      <c r="P58" t="s">
        <v>378</v>
      </c>
      <c r="Q58">
        <v>1</v>
      </c>
      <c r="W58">
        <v>0</v>
      </c>
      <c r="X58">
        <v>1280601743</v>
      </c>
      <c r="Y58">
        <f>(AT58*ROUND(0.3,7))</f>
        <v>0.87</v>
      </c>
      <c r="AA58">
        <v>0</v>
      </c>
      <c r="AB58">
        <v>26.32</v>
      </c>
      <c r="AC58">
        <v>0</v>
      </c>
      <c r="AD58">
        <v>0</v>
      </c>
      <c r="AE58">
        <v>0</v>
      </c>
      <c r="AF58">
        <v>26.32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2.9</v>
      </c>
      <c r="AU58" t="s">
        <v>112</v>
      </c>
      <c r="AV58">
        <v>1</v>
      </c>
      <c r="AW58">
        <v>2</v>
      </c>
      <c r="AX58">
        <v>65178949</v>
      </c>
      <c r="AY58">
        <v>1</v>
      </c>
      <c r="AZ58">
        <v>0</v>
      </c>
      <c r="BA58">
        <v>58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76.328000000000003</v>
      </c>
      <c r="BL58">
        <v>0</v>
      </c>
      <c r="BM58">
        <v>0</v>
      </c>
      <c r="BN58">
        <v>0</v>
      </c>
      <c r="BO58">
        <v>0</v>
      </c>
      <c r="BP58">
        <v>1</v>
      </c>
      <c r="BQ58">
        <v>0</v>
      </c>
      <c r="BR58">
        <v>22.898399999999999</v>
      </c>
      <c r="BS58">
        <v>0</v>
      </c>
      <c r="BT58">
        <v>0</v>
      </c>
      <c r="BU58">
        <v>0</v>
      </c>
      <c r="BV58">
        <v>0</v>
      </c>
      <c r="BW58">
        <v>1</v>
      </c>
      <c r="CV58">
        <v>0</v>
      </c>
      <c r="CW58">
        <f>ROUND(Y58*Source!I72*DO58,7)</f>
        <v>0</v>
      </c>
      <c r="CX58">
        <f>ROUND(Y58*Source!I72,7)</f>
        <v>0.93959999999999999</v>
      </c>
      <c r="CY58">
        <f>AB58</f>
        <v>26.32</v>
      </c>
      <c r="CZ58">
        <f>AF58</f>
        <v>26.32</v>
      </c>
      <c r="DA58">
        <f>AJ58</f>
        <v>1</v>
      </c>
      <c r="DB58">
        <f>ROUND((ROUND(AT58*CZ58,2)*ROUND(0.3,7)),6)</f>
        <v>22.899000000000001</v>
      </c>
      <c r="DC58">
        <f>ROUND((ROUND(AT58*AG58,2)*ROUND(0.3,7)),6)</f>
        <v>0</v>
      </c>
      <c r="DD58" t="s">
        <v>3</v>
      </c>
      <c r="DE58" t="s">
        <v>3</v>
      </c>
      <c r="DF58">
        <f t="shared" si="17"/>
        <v>0</v>
      </c>
      <c r="DG58">
        <f t="shared" ref="DG58:DG66" si="18">ROUND(ROUND(AF58,2)*CX58,2)</f>
        <v>24.73</v>
      </c>
      <c r="DH58">
        <f t="shared" si="7"/>
        <v>0</v>
      </c>
      <c r="DI58">
        <f t="shared" si="8"/>
        <v>0</v>
      </c>
      <c r="DJ58">
        <f>DG58+DH58</f>
        <v>24.73</v>
      </c>
      <c r="DK58">
        <v>1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ROW(Source!A72)</f>
        <v>72</v>
      </c>
      <c r="B59">
        <v>65178645</v>
      </c>
      <c r="C59">
        <v>65178935</v>
      </c>
      <c r="D59">
        <v>56579266</v>
      </c>
      <c r="E59">
        <v>1</v>
      </c>
      <c r="F59">
        <v>1</v>
      </c>
      <c r="G59">
        <v>1</v>
      </c>
      <c r="H59">
        <v>3</v>
      </c>
      <c r="I59" t="s">
        <v>438</v>
      </c>
      <c r="J59" t="s">
        <v>439</v>
      </c>
      <c r="K59" t="s">
        <v>440</v>
      </c>
      <c r="L59">
        <v>1346</v>
      </c>
      <c r="N59">
        <v>1009</v>
      </c>
      <c r="O59" t="s">
        <v>253</v>
      </c>
      <c r="P59" t="s">
        <v>253</v>
      </c>
      <c r="Q59">
        <v>1</v>
      </c>
      <c r="W59">
        <v>0</v>
      </c>
      <c r="X59">
        <v>-1545686836</v>
      </c>
      <c r="Y59">
        <f>(AT59*ROUND(0,7))</f>
        <v>0</v>
      </c>
      <c r="AA59">
        <v>147.85</v>
      </c>
      <c r="AB59">
        <v>0</v>
      </c>
      <c r="AC59">
        <v>0</v>
      </c>
      <c r="AD59">
        <v>0</v>
      </c>
      <c r="AE59">
        <v>155.63</v>
      </c>
      <c r="AF59">
        <v>0</v>
      </c>
      <c r="AG59">
        <v>0</v>
      </c>
      <c r="AH59">
        <v>0</v>
      </c>
      <c r="AI59">
        <v>0.95</v>
      </c>
      <c r="AJ59">
        <v>1</v>
      </c>
      <c r="AK59">
        <v>1</v>
      </c>
      <c r="AL59">
        <v>1</v>
      </c>
      <c r="AM59">
        <v>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3</v>
      </c>
      <c r="AT59">
        <v>0.9</v>
      </c>
      <c r="AU59" t="s">
        <v>111</v>
      </c>
      <c r="AV59">
        <v>0</v>
      </c>
      <c r="AW59">
        <v>2</v>
      </c>
      <c r="AX59">
        <v>65178950</v>
      </c>
      <c r="AY59">
        <v>1</v>
      </c>
      <c r="AZ59">
        <v>0</v>
      </c>
      <c r="BA59">
        <v>59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140.06700000000001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1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ROUND(Y59*Source!I72,7)</f>
        <v>0</v>
      </c>
      <c r="CY59">
        <f>AA59</f>
        <v>147.85</v>
      </c>
      <c r="CZ59">
        <f>AE59</f>
        <v>155.63</v>
      </c>
      <c r="DA59">
        <f>AI59</f>
        <v>0.95</v>
      </c>
      <c r="DB59">
        <f>ROUND((ROUND(AT59*CZ59,2)*ROUND(0,7)),6)</f>
        <v>0</v>
      </c>
      <c r="DC59">
        <f>ROUND((ROUND(AT59*AG59,2)*ROUND(0,7)),6)</f>
        <v>0</v>
      </c>
      <c r="DD59" t="s">
        <v>3</v>
      </c>
      <c r="DE59" t="s">
        <v>3</v>
      </c>
      <c r="DF59">
        <f>ROUND(ROUND(AE59*AI59,2)*CX59,2)</f>
        <v>0</v>
      </c>
      <c r="DG59">
        <f t="shared" si="18"/>
        <v>0</v>
      </c>
      <c r="DH59">
        <f t="shared" si="7"/>
        <v>0</v>
      </c>
      <c r="DI59">
        <f t="shared" si="8"/>
        <v>0</v>
      </c>
      <c r="DJ59">
        <f>DF59</f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ROW(Source!A72)</f>
        <v>72</v>
      </c>
      <c r="B60">
        <v>65178645</v>
      </c>
      <c r="C60">
        <v>65178935</v>
      </c>
      <c r="D60">
        <v>56592692</v>
      </c>
      <c r="E60">
        <v>1</v>
      </c>
      <c r="F60">
        <v>1</v>
      </c>
      <c r="G60">
        <v>1</v>
      </c>
      <c r="H60">
        <v>3</v>
      </c>
      <c r="I60" t="s">
        <v>444</v>
      </c>
      <c r="J60" t="s">
        <v>445</v>
      </c>
      <c r="K60" t="s">
        <v>446</v>
      </c>
      <c r="L60">
        <v>1348</v>
      </c>
      <c r="N60">
        <v>1009</v>
      </c>
      <c r="O60" t="s">
        <v>244</v>
      </c>
      <c r="P60" t="s">
        <v>244</v>
      </c>
      <c r="Q60">
        <v>1000</v>
      </c>
      <c r="W60">
        <v>0</v>
      </c>
      <c r="X60">
        <v>-994423950</v>
      </c>
      <c r="Y60">
        <f>(AT60*ROUND(0,7))</f>
        <v>0</v>
      </c>
      <c r="AA60">
        <v>61173.09</v>
      </c>
      <c r="AB60">
        <v>0</v>
      </c>
      <c r="AC60">
        <v>0</v>
      </c>
      <c r="AD60">
        <v>0</v>
      </c>
      <c r="AE60">
        <v>71131.5</v>
      </c>
      <c r="AF60">
        <v>0</v>
      </c>
      <c r="AG60">
        <v>0</v>
      </c>
      <c r="AH60">
        <v>0</v>
      </c>
      <c r="AI60">
        <v>0.86</v>
      </c>
      <c r="AJ60">
        <v>1</v>
      </c>
      <c r="AK60">
        <v>1</v>
      </c>
      <c r="AL60">
        <v>1</v>
      </c>
      <c r="AM60">
        <v>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3</v>
      </c>
      <c r="AT60">
        <v>4.0000000000000001E-3</v>
      </c>
      <c r="AU60" t="s">
        <v>111</v>
      </c>
      <c r="AV60">
        <v>0</v>
      </c>
      <c r="AW60">
        <v>2</v>
      </c>
      <c r="AX60">
        <v>65178951</v>
      </c>
      <c r="AY60">
        <v>1</v>
      </c>
      <c r="AZ60">
        <v>0</v>
      </c>
      <c r="BA60">
        <v>60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284.52600000000001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1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ROUND(Y60*Source!I72,7)</f>
        <v>0</v>
      </c>
      <c r="CY60">
        <f>AA60</f>
        <v>61173.09</v>
      </c>
      <c r="CZ60">
        <f>AE60</f>
        <v>71131.5</v>
      </c>
      <c r="DA60">
        <f>AI60</f>
        <v>0.86</v>
      </c>
      <c r="DB60">
        <f>ROUND((ROUND(AT60*CZ60,2)*ROUND(0,7)),6)</f>
        <v>0</v>
      </c>
      <c r="DC60">
        <f>ROUND((ROUND(AT60*AG60,2)*ROUND(0,7)),6)</f>
        <v>0</v>
      </c>
      <c r="DD60" t="s">
        <v>3</v>
      </c>
      <c r="DE60" t="s">
        <v>3</v>
      </c>
      <c r="DF60">
        <f>ROUND(ROUND(AE60*AI60,2)*CX60,2)</f>
        <v>0</v>
      </c>
      <c r="DG60">
        <f t="shared" si="18"/>
        <v>0</v>
      </c>
      <c r="DH60">
        <f t="shared" si="7"/>
        <v>0</v>
      </c>
      <c r="DI60">
        <f t="shared" si="8"/>
        <v>0</v>
      </c>
      <c r="DJ60">
        <f>DF60</f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ROW(Source!A72)</f>
        <v>72</v>
      </c>
      <c r="B61">
        <v>65178645</v>
      </c>
      <c r="C61">
        <v>65178935</v>
      </c>
      <c r="D61">
        <v>56609983</v>
      </c>
      <c r="E61">
        <v>1</v>
      </c>
      <c r="F61">
        <v>1</v>
      </c>
      <c r="G61">
        <v>1</v>
      </c>
      <c r="H61">
        <v>3</v>
      </c>
      <c r="I61" t="s">
        <v>441</v>
      </c>
      <c r="J61" t="s">
        <v>442</v>
      </c>
      <c r="K61" t="s">
        <v>443</v>
      </c>
      <c r="L61">
        <v>1346</v>
      </c>
      <c r="N61">
        <v>1009</v>
      </c>
      <c r="O61" t="s">
        <v>253</v>
      </c>
      <c r="P61" t="s">
        <v>253</v>
      </c>
      <c r="Q61">
        <v>1</v>
      </c>
      <c r="W61">
        <v>0</v>
      </c>
      <c r="X61">
        <v>4985900</v>
      </c>
      <c r="Y61">
        <f>(AT61*ROUND(0,7))</f>
        <v>0</v>
      </c>
      <c r="AA61">
        <v>1121.22</v>
      </c>
      <c r="AB61">
        <v>0</v>
      </c>
      <c r="AC61">
        <v>0</v>
      </c>
      <c r="AD61">
        <v>0</v>
      </c>
      <c r="AE61">
        <v>911.56</v>
      </c>
      <c r="AF61">
        <v>0</v>
      </c>
      <c r="AG61">
        <v>0</v>
      </c>
      <c r="AH61">
        <v>0</v>
      </c>
      <c r="AI61">
        <v>1.23</v>
      </c>
      <c r="AJ61">
        <v>1</v>
      </c>
      <c r="AK61">
        <v>1</v>
      </c>
      <c r="AL61">
        <v>1</v>
      </c>
      <c r="AM61">
        <v>2</v>
      </c>
      <c r="AN61">
        <v>0</v>
      </c>
      <c r="AO61">
        <v>0</v>
      </c>
      <c r="AP61">
        <v>1</v>
      </c>
      <c r="AQ61">
        <v>1</v>
      </c>
      <c r="AR61">
        <v>0</v>
      </c>
      <c r="AS61" t="s">
        <v>3</v>
      </c>
      <c r="AT61">
        <v>2.4</v>
      </c>
      <c r="AU61" t="s">
        <v>111</v>
      </c>
      <c r="AV61">
        <v>0</v>
      </c>
      <c r="AW61">
        <v>2</v>
      </c>
      <c r="AX61">
        <v>65178952</v>
      </c>
      <c r="AY61">
        <v>1</v>
      </c>
      <c r="AZ61">
        <v>0</v>
      </c>
      <c r="BA61">
        <v>61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2187.7439999999997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1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ROUND(Y61*Source!I72,7)</f>
        <v>0</v>
      </c>
      <c r="CY61">
        <f>AA61</f>
        <v>1121.22</v>
      </c>
      <c r="CZ61">
        <f>AE61</f>
        <v>911.56</v>
      </c>
      <c r="DA61">
        <f>AI61</f>
        <v>1.23</v>
      </c>
      <c r="DB61">
        <f>ROUND((ROUND(AT61*CZ61,2)*ROUND(0,7)),6)</f>
        <v>0</v>
      </c>
      <c r="DC61">
        <f>ROUND((ROUND(AT61*AG61,2)*ROUND(0,7)),6)</f>
        <v>0</v>
      </c>
      <c r="DD61" t="s">
        <v>3</v>
      </c>
      <c r="DE61" t="s">
        <v>3</v>
      </c>
      <c r="DF61">
        <f>ROUND(ROUND(AE61*AI61,2)*CX61,2)</f>
        <v>0</v>
      </c>
      <c r="DG61">
        <f t="shared" si="18"/>
        <v>0</v>
      </c>
      <c r="DH61">
        <f t="shared" si="7"/>
        <v>0</v>
      </c>
      <c r="DI61">
        <f t="shared" si="8"/>
        <v>0</v>
      </c>
      <c r="DJ61">
        <f>DF61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ROW(Source!A72)</f>
        <v>72</v>
      </c>
      <c r="B62">
        <v>65178645</v>
      </c>
      <c r="C62">
        <v>65178935</v>
      </c>
      <c r="D62">
        <v>56223463</v>
      </c>
      <c r="E62">
        <v>108</v>
      </c>
      <c r="F62">
        <v>1</v>
      </c>
      <c r="G62">
        <v>1</v>
      </c>
      <c r="H62">
        <v>3</v>
      </c>
      <c r="I62" t="s">
        <v>406</v>
      </c>
      <c r="J62" t="s">
        <v>3</v>
      </c>
      <c r="K62" t="s">
        <v>407</v>
      </c>
      <c r="L62">
        <v>3277935</v>
      </c>
      <c r="N62">
        <v>1013</v>
      </c>
      <c r="O62" t="s">
        <v>408</v>
      </c>
      <c r="P62" t="s">
        <v>408</v>
      </c>
      <c r="Q62">
        <v>1</v>
      </c>
      <c r="W62">
        <v>0</v>
      </c>
      <c r="X62">
        <v>274903907</v>
      </c>
      <c r="Y62">
        <f t="shared" ref="Y62:Y93" si="19">AT62</f>
        <v>2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0</v>
      </c>
      <c r="AP62">
        <v>0</v>
      </c>
      <c r="AQ62">
        <v>1</v>
      </c>
      <c r="AR62">
        <v>0</v>
      </c>
      <c r="AS62" t="s">
        <v>3</v>
      </c>
      <c r="AT62">
        <v>2</v>
      </c>
      <c r="AU62" t="s">
        <v>3</v>
      </c>
      <c r="AV62">
        <v>0</v>
      </c>
      <c r="AW62">
        <v>2</v>
      </c>
      <c r="AX62">
        <v>65178953</v>
      </c>
      <c r="AY62">
        <v>1</v>
      </c>
      <c r="AZ62">
        <v>2048</v>
      </c>
      <c r="BA62">
        <v>62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ROUND(Y62*Source!I72,7)</f>
        <v>2.16</v>
      </c>
      <c r="CY62">
        <f>AA62</f>
        <v>0</v>
      </c>
      <c r="CZ62">
        <f>AE62</f>
        <v>0</v>
      </c>
      <c r="DA62">
        <f>AI62</f>
        <v>1</v>
      </c>
      <c r="DB62">
        <f t="shared" ref="DB62:DB93" si="20">ROUND(ROUND(AT62*CZ62,2),6)</f>
        <v>0</v>
      </c>
      <c r="DC62">
        <f t="shared" ref="DC62:DC93" si="21">ROUND(ROUND(AT62*AG62,2),6)</f>
        <v>0</v>
      </c>
      <c r="DD62" t="s">
        <v>3</v>
      </c>
      <c r="DE62" t="s">
        <v>3</v>
      </c>
      <c r="DF62">
        <f t="shared" ref="DF62:DF75" si="22">ROUND(ROUND(AE62,2)*CX62,2)</f>
        <v>0</v>
      </c>
      <c r="DG62">
        <f t="shared" si="18"/>
        <v>0</v>
      </c>
      <c r="DH62">
        <f t="shared" si="7"/>
        <v>0</v>
      </c>
      <c r="DI62">
        <f t="shared" si="8"/>
        <v>0</v>
      </c>
      <c r="DJ62">
        <f>DF62</f>
        <v>0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ROW(Source!A108)</f>
        <v>108</v>
      </c>
      <c r="B63">
        <v>65178645</v>
      </c>
      <c r="C63">
        <v>65179011</v>
      </c>
      <c r="D63">
        <v>37066717</v>
      </c>
      <c r="E63">
        <v>108</v>
      </c>
      <c r="F63">
        <v>1</v>
      </c>
      <c r="G63">
        <v>1</v>
      </c>
      <c r="H63">
        <v>1</v>
      </c>
      <c r="I63" t="s">
        <v>384</v>
      </c>
      <c r="J63" t="s">
        <v>3</v>
      </c>
      <c r="K63" t="s">
        <v>385</v>
      </c>
      <c r="L63">
        <v>1191</v>
      </c>
      <c r="N63">
        <v>1013</v>
      </c>
      <c r="O63" t="s">
        <v>372</v>
      </c>
      <c r="P63" t="s">
        <v>372</v>
      </c>
      <c r="Q63">
        <v>1</v>
      </c>
      <c r="W63">
        <v>0</v>
      </c>
      <c r="X63">
        <v>388411409</v>
      </c>
      <c r="Y63">
        <f t="shared" si="19"/>
        <v>0.44</v>
      </c>
      <c r="AA63">
        <v>0</v>
      </c>
      <c r="AB63">
        <v>0</v>
      </c>
      <c r="AC63">
        <v>0</v>
      </c>
      <c r="AD63">
        <v>417.33</v>
      </c>
      <c r="AE63">
        <v>0</v>
      </c>
      <c r="AF63">
        <v>0</v>
      </c>
      <c r="AG63">
        <v>0</v>
      </c>
      <c r="AH63">
        <v>417.33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0</v>
      </c>
      <c r="AP63">
        <v>0</v>
      </c>
      <c r="AQ63">
        <v>1</v>
      </c>
      <c r="AR63">
        <v>0</v>
      </c>
      <c r="AS63" t="s">
        <v>3</v>
      </c>
      <c r="AT63">
        <v>0.44</v>
      </c>
      <c r="AU63" t="s">
        <v>3</v>
      </c>
      <c r="AV63">
        <v>1</v>
      </c>
      <c r="AW63">
        <v>2</v>
      </c>
      <c r="AX63">
        <v>65179017</v>
      </c>
      <c r="AY63">
        <v>1</v>
      </c>
      <c r="AZ63">
        <v>0</v>
      </c>
      <c r="BA63">
        <v>63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183.62520000000001</v>
      </c>
      <c r="BN63">
        <v>0.44</v>
      </c>
      <c r="BO63">
        <v>0</v>
      </c>
      <c r="BP63">
        <v>1</v>
      </c>
      <c r="BQ63">
        <v>0</v>
      </c>
      <c r="BR63">
        <v>0</v>
      </c>
      <c r="BS63">
        <v>0</v>
      </c>
      <c r="BT63">
        <v>183.62520000000001</v>
      </c>
      <c r="BU63">
        <v>0.44</v>
      </c>
      <c r="BV63">
        <v>0</v>
      </c>
      <c r="BW63">
        <v>1</v>
      </c>
      <c r="CU63">
        <f>ROUND(AT63*Source!I108*AH63*AL63,2)</f>
        <v>8079.51</v>
      </c>
      <c r="CV63">
        <f>ROUND(Y63*Source!I108,7)</f>
        <v>19.36</v>
      </c>
      <c r="CW63">
        <v>0</v>
      </c>
      <c r="CX63">
        <f>ROUND(Y63*Source!I108,7)</f>
        <v>19.36</v>
      </c>
      <c r="CY63">
        <f>AD63</f>
        <v>417.33</v>
      </c>
      <c r="CZ63">
        <f>AH63</f>
        <v>417.33</v>
      </c>
      <c r="DA63">
        <f>AL63</f>
        <v>1</v>
      </c>
      <c r="DB63">
        <f t="shared" si="20"/>
        <v>183.63</v>
      </c>
      <c r="DC63">
        <f t="shared" si="21"/>
        <v>0</v>
      </c>
      <c r="DD63" t="s">
        <v>3</v>
      </c>
      <c r="DE63" t="s">
        <v>3</v>
      </c>
      <c r="DF63">
        <f t="shared" si="22"/>
        <v>0</v>
      </c>
      <c r="DG63">
        <f t="shared" si="18"/>
        <v>0</v>
      </c>
      <c r="DH63">
        <f t="shared" si="7"/>
        <v>0</v>
      </c>
      <c r="DI63">
        <f t="shared" si="8"/>
        <v>8079.51</v>
      </c>
      <c r="DJ63">
        <f>DI63</f>
        <v>8079.51</v>
      </c>
      <c r="DK63">
        <v>1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ROW(Source!A108)</f>
        <v>108</v>
      </c>
      <c r="B64">
        <v>65178645</v>
      </c>
      <c r="C64">
        <v>65179011</v>
      </c>
      <c r="D64">
        <v>37064876</v>
      </c>
      <c r="E64">
        <v>108</v>
      </c>
      <c r="F64">
        <v>1</v>
      </c>
      <c r="G64">
        <v>1</v>
      </c>
      <c r="H64">
        <v>1</v>
      </c>
      <c r="I64" t="s">
        <v>373</v>
      </c>
      <c r="J64" t="s">
        <v>3</v>
      </c>
      <c r="K64" t="s">
        <v>374</v>
      </c>
      <c r="L64">
        <v>1191</v>
      </c>
      <c r="N64">
        <v>1013</v>
      </c>
      <c r="O64" t="s">
        <v>372</v>
      </c>
      <c r="P64" t="s">
        <v>372</v>
      </c>
      <c r="Q64">
        <v>1</v>
      </c>
      <c r="W64">
        <v>0</v>
      </c>
      <c r="X64">
        <v>-1417349443</v>
      </c>
      <c r="Y64">
        <f t="shared" si="19"/>
        <v>0.48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0</v>
      </c>
      <c r="AQ64">
        <v>1</v>
      </c>
      <c r="AR64">
        <v>0</v>
      </c>
      <c r="AS64" t="s">
        <v>3</v>
      </c>
      <c r="AT64">
        <v>0.48</v>
      </c>
      <c r="AU64" t="s">
        <v>3</v>
      </c>
      <c r="AV64">
        <v>2</v>
      </c>
      <c r="AW64">
        <v>2</v>
      </c>
      <c r="AX64">
        <v>65179018</v>
      </c>
      <c r="AY64">
        <v>1</v>
      </c>
      <c r="AZ64">
        <v>0</v>
      </c>
      <c r="BA64">
        <v>64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ROUND(Y64*Source!I108,7)</f>
        <v>21.12</v>
      </c>
      <c r="CY64">
        <f>AD64</f>
        <v>0</v>
      </c>
      <c r="CZ64">
        <f>AH64</f>
        <v>0</v>
      </c>
      <c r="DA64">
        <f>AL64</f>
        <v>1</v>
      </c>
      <c r="DB64">
        <f t="shared" si="20"/>
        <v>0</v>
      </c>
      <c r="DC64">
        <f t="shared" si="21"/>
        <v>0</v>
      </c>
      <c r="DD64" t="s">
        <v>3</v>
      </c>
      <c r="DE64" t="s">
        <v>3</v>
      </c>
      <c r="DF64">
        <f t="shared" si="22"/>
        <v>0</v>
      </c>
      <c r="DG64">
        <f t="shared" si="18"/>
        <v>0</v>
      </c>
      <c r="DH64">
        <f t="shared" si="7"/>
        <v>0</v>
      </c>
      <c r="DI64">
        <f t="shared" si="8"/>
        <v>0</v>
      </c>
      <c r="DJ64">
        <f>DI64</f>
        <v>0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ROW(Source!A108)</f>
        <v>108</v>
      </c>
      <c r="B65">
        <v>65178645</v>
      </c>
      <c r="C65">
        <v>65179011</v>
      </c>
      <c r="D65">
        <v>56571417</v>
      </c>
      <c r="E65">
        <v>1</v>
      </c>
      <c r="F65">
        <v>1</v>
      </c>
      <c r="G65">
        <v>1</v>
      </c>
      <c r="H65">
        <v>2</v>
      </c>
      <c r="I65" t="s">
        <v>386</v>
      </c>
      <c r="J65" t="s">
        <v>387</v>
      </c>
      <c r="K65" t="s">
        <v>388</v>
      </c>
      <c r="L65">
        <v>1368</v>
      </c>
      <c r="N65">
        <v>1011</v>
      </c>
      <c r="O65" t="s">
        <v>378</v>
      </c>
      <c r="P65" t="s">
        <v>378</v>
      </c>
      <c r="Q65">
        <v>1</v>
      </c>
      <c r="W65">
        <v>0</v>
      </c>
      <c r="X65">
        <v>-848025172</v>
      </c>
      <c r="Y65">
        <f t="shared" si="19"/>
        <v>0.24</v>
      </c>
      <c r="AA65">
        <v>0</v>
      </c>
      <c r="AB65">
        <v>1551.19</v>
      </c>
      <c r="AC65">
        <v>658.94</v>
      </c>
      <c r="AD65">
        <v>0</v>
      </c>
      <c r="AE65">
        <v>0</v>
      </c>
      <c r="AF65">
        <v>1551.19</v>
      </c>
      <c r="AG65">
        <v>658.94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0</v>
      </c>
      <c r="AP65">
        <v>0</v>
      </c>
      <c r="AQ65">
        <v>1</v>
      </c>
      <c r="AR65">
        <v>0</v>
      </c>
      <c r="AS65" t="s">
        <v>3</v>
      </c>
      <c r="AT65">
        <v>0.24</v>
      </c>
      <c r="AU65" t="s">
        <v>3</v>
      </c>
      <c r="AV65">
        <v>1</v>
      </c>
      <c r="AW65">
        <v>2</v>
      </c>
      <c r="AX65">
        <v>65179019</v>
      </c>
      <c r="AY65">
        <v>1</v>
      </c>
      <c r="AZ65">
        <v>0</v>
      </c>
      <c r="BA65">
        <v>65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372.28559999999999</v>
      </c>
      <c r="BL65">
        <v>158.1456</v>
      </c>
      <c r="BM65">
        <v>0</v>
      </c>
      <c r="BN65">
        <v>0</v>
      </c>
      <c r="BO65">
        <v>0.24</v>
      </c>
      <c r="BP65">
        <v>1</v>
      </c>
      <c r="BQ65">
        <v>0</v>
      </c>
      <c r="BR65">
        <v>372.28559999999999</v>
      </c>
      <c r="BS65">
        <v>158.1456</v>
      </c>
      <c r="BT65">
        <v>0</v>
      </c>
      <c r="BU65">
        <v>0</v>
      </c>
      <c r="BV65">
        <v>0.24</v>
      </c>
      <c r="BW65">
        <v>1</v>
      </c>
      <c r="CV65">
        <v>0</v>
      </c>
      <c r="CW65">
        <f>ROUND(Y65*Source!I108*DO65,7)</f>
        <v>10.56</v>
      </c>
      <c r="CX65">
        <f>ROUND(Y65*Source!I108,7)</f>
        <v>10.56</v>
      </c>
      <c r="CY65">
        <f>AB65</f>
        <v>1551.19</v>
      </c>
      <c r="CZ65">
        <f>AF65</f>
        <v>1551.19</v>
      </c>
      <c r="DA65">
        <f>AJ65</f>
        <v>1</v>
      </c>
      <c r="DB65">
        <f t="shared" si="20"/>
        <v>372.29</v>
      </c>
      <c r="DC65">
        <f t="shared" si="21"/>
        <v>158.15</v>
      </c>
      <c r="DD65" t="s">
        <v>3</v>
      </c>
      <c r="DE65" t="s">
        <v>3</v>
      </c>
      <c r="DF65">
        <f t="shared" si="22"/>
        <v>0</v>
      </c>
      <c r="DG65">
        <f t="shared" si="18"/>
        <v>16380.57</v>
      </c>
      <c r="DH65">
        <f t="shared" ref="DH65:DH96" si="23">ROUND(ROUND(AG65,2)*CX65,2)</f>
        <v>6958.41</v>
      </c>
      <c r="DI65">
        <f t="shared" ref="DI65:DI96" si="24">ROUND(ROUND(AH65,2)*CX65,2)</f>
        <v>0</v>
      </c>
      <c r="DJ65">
        <f>DG65+DH65</f>
        <v>23338.98</v>
      </c>
      <c r="DK65">
        <v>1</v>
      </c>
      <c r="DL65" t="s">
        <v>389</v>
      </c>
      <c r="DM65">
        <v>6</v>
      </c>
      <c r="DN65" t="s">
        <v>372</v>
      </c>
      <c r="DO65">
        <v>1</v>
      </c>
    </row>
    <row r="66" spans="1:119" x14ac:dyDescent="0.2">
      <c r="A66">
        <f>ROW(Source!A108)</f>
        <v>108</v>
      </c>
      <c r="B66">
        <v>65178645</v>
      </c>
      <c r="C66">
        <v>65179011</v>
      </c>
      <c r="D66">
        <v>56572938</v>
      </c>
      <c r="E66">
        <v>1</v>
      </c>
      <c r="F66">
        <v>1</v>
      </c>
      <c r="G66">
        <v>1</v>
      </c>
      <c r="H66">
        <v>2</v>
      </c>
      <c r="I66" t="s">
        <v>390</v>
      </c>
      <c r="J66" t="s">
        <v>391</v>
      </c>
      <c r="K66" t="s">
        <v>392</v>
      </c>
      <c r="L66">
        <v>1368</v>
      </c>
      <c r="N66">
        <v>1011</v>
      </c>
      <c r="O66" t="s">
        <v>378</v>
      </c>
      <c r="P66" t="s">
        <v>378</v>
      </c>
      <c r="Q66">
        <v>1</v>
      </c>
      <c r="W66">
        <v>0</v>
      </c>
      <c r="X66">
        <v>-1757865898</v>
      </c>
      <c r="Y66">
        <f t="shared" si="19"/>
        <v>0.24</v>
      </c>
      <c r="AA66">
        <v>0</v>
      </c>
      <c r="AB66">
        <v>16.66</v>
      </c>
      <c r="AC66">
        <v>0</v>
      </c>
      <c r="AD66">
        <v>0</v>
      </c>
      <c r="AE66">
        <v>0</v>
      </c>
      <c r="AF66">
        <v>16.66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0</v>
      </c>
      <c r="AP66">
        <v>0</v>
      </c>
      <c r="AQ66">
        <v>1</v>
      </c>
      <c r="AR66">
        <v>0</v>
      </c>
      <c r="AS66" t="s">
        <v>3</v>
      </c>
      <c r="AT66">
        <v>0.24</v>
      </c>
      <c r="AU66" t="s">
        <v>3</v>
      </c>
      <c r="AV66">
        <v>1</v>
      </c>
      <c r="AW66">
        <v>2</v>
      </c>
      <c r="AX66">
        <v>65179020</v>
      </c>
      <c r="AY66">
        <v>1</v>
      </c>
      <c r="AZ66">
        <v>0</v>
      </c>
      <c r="BA66">
        <v>66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3.9983999999999997</v>
      </c>
      <c r="BL66">
        <v>0</v>
      </c>
      <c r="BM66">
        <v>0</v>
      </c>
      <c r="BN66">
        <v>0</v>
      </c>
      <c r="BO66">
        <v>0</v>
      </c>
      <c r="BP66">
        <v>1</v>
      </c>
      <c r="BQ66">
        <v>0</v>
      </c>
      <c r="BR66">
        <v>3.9983999999999997</v>
      </c>
      <c r="BS66">
        <v>0</v>
      </c>
      <c r="BT66">
        <v>0</v>
      </c>
      <c r="BU66">
        <v>0</v>
      </c>
      <c r="BV66">
        <v>0</v>
      </c>
      <c r="BW66">
        <v>1</v>
      </c>
      <c r="CV66">
        <v>0</v>
      </c>
      <c r="CW66">
        <f>ROUND(Y66*Source!I108*DO66,7)</f>
        <v>0</v>
      </c>
      <c r="CX66">
        <f>ROUND(Y66*Source!I108,7)</f>
        <v>10.56</v>
      </c>
      <c r="CY66">
        <f>AB66</f>
        <v>16.66</v>
      </c>
      <c r="CZ66">
        <f>AF66</f>
        <v>16.66</v>
      </c>
      <c r="DA66">
        <f>AJ66</f>
        <v>1</v>
      </c>
      <c r="DB66">
        <f t="shared" si="20"/>
        <v>4</v>
      </c>
      <c r="DC66">
        <f t="shared" si="21"/>
        <v>0</v>
      </c>
      <c r="DD66" t="s">
        <v>3</v>
      </c>
      <c r="DE66" t="s">
        <v>3</v>
      </c>
      <c r="DF66">
        <f t="shared" si="22"/>
        <v>0</v>
      </c>
      <c r="DG66">
        <f t="shared" si="18"/>
        <v>175.93</v>
      </c>
      <c r="DH66">
        <f t="shared" si="23"/>
        <v>0</v>
      </c>
      <c r="DI66">
        <f t="shared" si="24"/>
        <v>0</v>
      </c>
      <c r="DJ66">
        <f>DG66+DH66</f>
        <v>175.93</v>
      </c>
      <c r="DK66">
        <v>1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ROW(Source!A108)</f>
        <v>108</v>
      </c>
      <c r="B67">
        <v>65178645</v>
      </c>
      <c r="C67">
        <v>65179011</v>
      </c>
      <c r="D67">
        <v>56572969</v>
      </c>
      <c r="E67">
        <v>1</v>
      </c>
      <c r="F67">
        <v>1</v>
      </c>
      <c r="G67">
        <v>1</v>
      </c>
      <c r="H67">
        <v>2</v>
      </c>
      <c r="I67" t="s">
        <v>393</v>
      </c>
      <c r="J67" t="s">
        <v>394</v>
      </c>
      <c r="K67" t="s">
        <v>395</v>
      </c>
      <c r="L67">
        <v>1368</v>
      </c>
      <c r="N67">
        <v>1011</v>
      </c>
      <c r="O67" t="s">
        <v>378</v>
      </c>
      <c r="P67" t="s">
        <v>378</v>
      </c>
      <c r="Q67">
        <v>1</v>
      </c>
      <c r="W67">
        <v>0</v>
      </c>
      <c r="X67">
        <v>-1976387145</v>
      </c>
      <c r="Y67">
        <f t="shared" si="19"/>
        <v>0.24</v>
      </c>
      <c r="AA67">
        <v>0</v>
      </c>
      <c r="AB67">
        <v>559.61</v>
      </c>
      <c r="AC67">
        <v>490.55</v>
      </c>
      <c r="AD67">
        <v>0</v>
      </c>
      <c r="AE67">
        <v>0</v>
      </c>
      <c r="AF67">
        <v>482.42</v>
      </c>
      <c r="AG67">
        <v>490.55</v>
      </c>
      <c r="AH67">
        <v>0</v>
      </c>
      <c r="AI67">
        <v>1</v>
      </c>
      <c r="AJ67">
        <v>1.1599999999999999</v>
      </c>
      <c r="AK67">
        <v>1</v>
      </c>
      <c r="AL67">
        <v>1</v>
      </c>
      <c r="AM67">
        <v>2</v>
      </c>
      <c r="AN67">
        <v>0</v>
      </c>
      <c r="AO67">
        <v>0</v>
      </c>
      <c r="AP67">
        <v>0</v>
      </c>
      <c r="AQ67">
        <v>1</v>
      </c>
      <c r="AR67">
        <v>0</v>
      </c>
      <c r="AS67" t="s">
        <v>3</v>
      </c>
      <c r="AT67">
        <v>0.24</v>
      </c>
      <c r="AU67" t="s">
        <v>3</v>
      </c>
      <c r="AV67">
        <v>1</v>
      </c>
      <c r="AW67">
        <v>2</v>
      </c>
      <c r="AX67">
        <v>65179021</v>
      </c>
      <c r="AY67">
        <v>1</v>
      </c>
      <c r="AZ67">
        <v>0</v>
      </c>
      <c r="BA67">
        <v>67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115.7808</v>
      </c>
      <c r="BL67">
        <v>117.732</v>
      </c>
      <c r="BM67">
        <v>0</v>
      </c>
      <c r="BN67">
        <v>0</v>
      </c>
      <c r="BO67">
        <v>0.24</v>
      </c>
      <c r="BP67">
        <v>1</v>
      </c>
      <c r="BQ67">
        <v>0</v>
      </c>
      <c r="BR67">
        <v>115.7808</v>
      </c>
      <c r="BS67">
        <v>117.732</v>
      </c>
      <c r="BT67">
        <v>0</v>
      </c>
      <c r="BU67">
        <v>0</v>
      </c>
      <c r="BV67">
        <v>0.24</v>
      </c>
      <c r="BW67">
        <v>1</v>
      </c>
      <c r="CV67">
        <v>0</v>
      </c>
      <c r="CW67">
        <f>ROUND(Y67*Source!I108*DO67,7)</f>
        <v>10.56</v>
      </c>
      <c r="CX67">
        <f>ROUND(Y67*Source!I108,7)</f>
        <v>10.56</v>
      </c>
      <c r="CY67">
        <f>AB67</f>
        <v>559.61</v>
      </c>
      <c r="CZ67">
        <f>AF67</f>
        <v>482.42</v>
      </c>
      <c r="DA67">
        <f>AJ67</f>
        <v>1.1599999999999999</v>
      </c>
      <c r="DB67">
        <f t="shared" si="20"/>
        <v>115.78</v>
      </c>
      <c r="DC67">
        <f t="shared" si="21"/>
        <v>117.73</v>
      </c>
      <c r="DD67" t="s">
        <v>3</v>
      </c>
      <c r="DE67" t="s">
        <v>3</v>
      </c>
      <c r="DF67">
        <f t="shared" si="22"/>
        <v>0</v>
      </c>
      <c r="DG67">
        <f>ROUND(ROUND(AF67*AJ67,2)*CX67,2)</f>
        <v>5909.48</v>
      </c>
      <c r="DH67">
        <f t="shared" si="23"/>
        <v>5180.21</v>
      </c>
      <c r="DI67">
        <f t="shared" si="24"/>
        <v>0</v>
      </c>
      <c r="DJ67">
        <f>DG67+DH67</f>
        <v>11089.689999999999</v>
      </c>
      <c r="DK67">
        <v>0</v>
      </c>
      <c r="DL67" t="s">
        <v>383</v>
      </c>
      <c r="DM67">
        <v>4</v>
      </c>
      <c r="DN67" t="s">
        <v>372</v>
      </c>
      <c r="DO67">
        <v>1</v>
      </c>
    </row>
    <row r="68" spans="1:119" x14ac:dyDescent="0.2">
      <c r="A68">
        <f>ROW(Source!A109)</f>
        <v>109</v>
      </c>
      <c r="B68">
        <v>65178645</v>
      </c>
      <c r="C68">
        <v>65179022</v>
      </c>
      <c r="D68">
        <v>37066717</v>
      </c>
      <c r="E68">
        <v>108</v>
      </c>
      <c r="F68">
        <v>1</v>
      </c>
      <c r="G68">
        <v>1</v>
      </c>
      <c r="H68">
        <v>1</v>
      </c>
      <c r="I68" t="s">
        <v>384</v>
      </c>
      <c r="J68" t="s">
        <v>3</v>
      </c>
      <c r="K68" t="s">
        <v>385</v>
      </c>
      <c r="L68">
        <v>1191</v>
      </c>
      <c r="N68">
        <v>1013</v>
      </c>
      <c r="O68" t="s">
        <v>372</v>
      </c>
      <c r="P68" t="s">
        <v>372</v>
      </c>
      <c r="Q68">
        <v>1</v>
      </c>
      <c r="W68">
        <v>0</v>
      </c>
      <c r="X68">
        <v>388411409</v>
      </c>
      <c r="Y68">
        <f t="shared" si="19"/>
        <v>0.25</v>
      </c>
      <c r="AA68">
        <v>0</v>
      </c>
      <c r="AB68">
        <v>0</v>
      </c>
      <c r="AC68">
        <v>0</v>
      </c>
      <c r="AD68">
        <v>417.33</v>
      </c>
      <c r="AE68">
        <v>0</v>
      </c>
      <c r="AF68">
        <v>0</v>
      </c>
      <c r="AG68">
        <v>0</v>
      </c>
      <c r="AH68">
        <v>417.33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0</v>
      </c>
      <c r="AP68">
        <v>0</v>
      </c>
      <c r="AQ68">
        <v>1</v>
      </c>
      <c r="AR68">
        <v>0</v>
      </c>
      <c r="AS68" t="s">
        <v>3</v>
      </c>
      <c r="AT68">
        <v>0.25</v>
      </c>
      <c r="AU68" t="s">
        <v>3</v>
      </c>
      <c r="AV68">
        <v>1</v>
      </c>
      <c r="AW68">
        <v>2</v>
      </c>
      <c r="AX68">
        <v>65179027</v>
      </c>
      <c r="AY68">
        <v>1</v>
      </c>
      <c r="AZ68">
        <v>0</v>
      </c>
      <c r="BA68">
        <v>68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104.3325</v>
      </c>
      <c r="BN68">
        <v>0.25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104.3325</v>
      </c>
      <c r="BU68">
        <v>0.25</v>
      </c>
      <c r="BV68">
        <v>0</v>
      </c>
      <c r="BW68">
        <v>1</v>
      </c>
      <c r="CU68">
        <f>ROUND(AT68*Source!I109*AH68*AL68,2)</f>
        <v>4590.63</v>
      </c>
      <c r="CV68">
        <f>ROUND(Y68*Source!I109,7)</f>
        <v>11</v>
      </c>
      <c r="CW68">
        <v>0</v>
      </c>
      <c r="CX68">
        <f>ROUND(Y68*Source!I109,7)</f>
        <v>11</v>
      </c>
      <c r="CY68">
        <f>AD68</f>
        <v>417.33</v>
      </c>
      <c r="CZ68">
        <f>AH68</f>
        <v>417.33</v>
      </c>
      <c r="DA68">
        <f>AL68</f>
        <v>1</v>
      </c>
      <c r="DB68">
        <f t="shared" si="20"/>
        <v>104.33</v>
      </c>
      <c r="DC68">
        <f t="shared" si="21"/>
        <v>0</v>
      </c>
      <c r="DD68" t="s">
        <v>3</v>
      </c>
      <c r="DE68" t="s">
        <v>3</v>
      </c>
      <c r="DF68">
        <f t="shared" si="22"/>
        <v>0</v>
      </c>
      <c r="DG68">
        <f>ROUND(ROUND(AF68,2)*CX68,2)</f>
        <v>0</v>
      </c>
      <c r="DH68">
        <f t="shared" si="23"/>
        <v>0</v>
      </c>
      <c r="DI68">
        <f t="shared" si="24"/>
        <v>4590.63</v>
      </c>
      <c r="DJ68">
        <f>DI68</f>
        <v>4590.63</v>
      </c>
      <c r="DK68">
        <v>1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ROW(Source!A109)</f>
        <v>109</v>
      </c>
      <c r="B69">
        <v>65178645</v>
      </c>
      <c r="C69">
        <v>65179022</v>
      </c>
      <c r="D69">
        <v>37064876</v>
      </c>
      <c r="E69">
        <v>108</v>
      </c>
      <c r="F69">
        <v>1</v>
      </c>
      <c r="G69">
        <v>1</v>
      </c>
      <c r="H69">
        <v>1</v>
      </c>
      <c r="I69" t="s">
        <v>373</v>
      </c>
      <c r="J69" t="s">
        <v>3</v>
      </c>
      <c r="K69" t="s">
        <v>374</v>
      </c>
      <c r="L69">
        <v>1191</v>
      </c>
      <c r="N69">
        <v>1013</v>
      </c>
      <c r="O69" t="s">
        <v>372</v>
      </c>
      <c r="P69" t="s">
        <v>372</v>
      </c>
      <c r="Q69">
        <v>1</v>
      </c>
      <c r="W69">
        <v>0</v>
      </c>
      <c r="X69">
        <v>-1417349443</v>
      </c>
      <c r="Y69">
        <f t="shared" si="19"/>
        <v>0.14000000000000001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0</v>
      </c>
      <c r="AP69">
        <v>0</v>
      </c>
      <c r="AQ69">
        <v>1</v>
      </c>
      <c r="AR69">
        <v>0</v>
      </c>
      <c r="AS69" t="s">
        <v>3</v>
      </c>
      <c r="AT69">
        <v>0.14000000000000001</v>
      </c>
      <c r="AU69" t="s">
        <v>3</v>
      </c>
      <c r="AV69">
        <v>2</v>
      </c>
      <c r="AW69">
        <v>2</v>
      </c>
      <c r="AX69">
        <v>65179028</v>
      </c>
      <c r="AY69">
        <v>1</v>
      </c>
      <c r="AZ69">
        <v>0</v>
      </c>
      <c r="BA69">
        <v>69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ROUND(Y69*Source!I109,7)</f>
        <v>6.16</v>
      </c>
      <c r="CY69">
        <f>AD69</f>
        <v>0</v>
      </c>
      <c r="CZ69">
        <f>AH69</f>
        <v>0</v>
      </c>
      <c r="DA69">
        <f>AL69</f>
        <v>1</v>
      </c>
      <c r="DB69">
        <f t="shared" si="20"/>
        <v>0</v>
      </c>
      <c r="DC69">
        <f t="shared" si="21"/>
        <v>0</v>
      </c>
      <c r="DD69" t="s">
        <v>3</v>
      </c>
      <c r="DE69" t="s">
        <v>3</v>
      </c>
      <c r="DF69">
        <f t="shared" si="22"/>
        <v>0</v>
      </c>
      <c r="DG69">
        <f>ROUND(ROUND(AF69,2)*CX69,2)</f>
        <v>0</v>
      </c>
      <c r="DH69">
        <f t="shared" si="23"/>
        <v>0</v>
      </c>
      <c r="DI69">
        <f t="shared" si="24"/>
        <v>0</v>
      </c>
      <c r="DJ69">
        <f>DI69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ROW(Source!A109)</f>
        <v>109</v>
      </c>
      <c r="B70">
        <v>65178645</v>
      </c>
      <c r="C70">
        <v>65179022</v>
      </c>
      <c r="D70">
        <v>56572938</v>
      </c>
      <c r="E70">
        <v>1</v>
      </c>
      <c r="F70">
        <v>1</v>
      </c>
      <c r="G70">
        <v>1</v>
      </c>
      <c r="H70">
        <v>2</v>
      </c>
      <c r="I70" t="s">
        <v>390</v>
      </c>
      <c r="J70" t="s">
        <v>391</v>
      </c>
      <c r="K70" t="s">
        <v>392</v>
      </c>
      <c r="L70">
        <v>1368</v>
      </c>
      <c r="N70">
        <v>1011</v>
      </c>
      <c r="O70" t="s">
        <v>378</v>
      </c>
      <c r="P70" t="s">
        <v>378</v>
      </c>
      <c r="Q70">
        <v>1</v>
      </c>
      <c r="W70">
        <v>0</v>
      </c>
      <c r="X70">
        <v>-1757865898</v>
      </c>
      <c r="Y70">
        <f t="shared" si="19"/>
        <v>0.14000000000000001</v>
      </c>
      <c r="AA70">
        <v>0</v>
      </c>
      <c r="AB70">
        <v>16.66</v>
      </c>
      <c r="AC70">
        <v>0</v>
      </c>
      <c r="AD70">
        <v>0</v>
      </c>
      <c r="AE70">
        <v>0</v>
      </c>
      <c r="AF70">
        <v>16.66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0</v>
      </c>
      <c r="AP70">
        <v>0</v>
      </c>
      <c r="AQ70">
        <v>1</v>
      </c>
      <c r="AR70">
        <v>0</v>
      </c>
      <c r="AS70" t="s">
        <v>3</v>
      </c>
      <c r="AT70">
        <v>0.14000000000000001</v>
      </c>
      <c r="AU70" t="s">
        <v>3</v>
      </c>
      <c r="AV70">
        <v>1</v>
      </c>
      <c r="AW70">
        <v>2</v>
      </c>
      <c r="AX70">
        <v>65179029</v>
      </c>
      <c r="AY70">
        <v>1</v>
      </c>
      <c r="AZ70">
        <v>0</v>
      </c>
      <c r="BA70">
        <v>70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2.3324000000000003</v>
      </c>
      <c r="BL70">
        <v>0</v>
      </c>
      <c r="BM70">
        <v>0</v>
      </c>
      <c r="BN70">
        <v>0</v>
      </c>
      <c r="BO70">
        <v>0</v>
      </c>
      <c r="BP70">
        <v>1</v>
      </c>
      <c r="BQ70">
        <v>0</v>
      </c>
      <c r="BR70">
        <v>2.3324000000000003</v>
      </c>
      <c r="BS70">
        <v>0</v>
      </c>
      <c r="BT70">
        <v>0</v>
      </c>
      <c r="BU70">
        <v>0</v>
      </c>
      <c r="BV70">
        <v>0</v>
      </c>
      <c r="BW70">
        <v>1</v>
      </c>
      <c r="CV70">
        <v>0</v>
      </c>
      <c r="CW70">
        <f>ROUND(Y70*Source!I109*DO70,7)</f>
        <v>0</v>
      </c>
      <c r="CX70">
        <f>ROUND(Y70*Source!I109,7)</f>
        <v>6.16</v>
      </c>
      <c r="CY70">
        <f>AB70</f>
        <v>16.66</v>
      </c>
      <c r="CZ70">
        <f>AF70</f>
        <v>16.66</v>
      </c>
      <c r="DA70">
        <f>AJ70</f>
        <v>1</v>
      </c>
      <c r="DB70">
        <f t="shared" si="20"/>
        <v>2.33</v>
      </c>
      <c r="DC70">
        <f t="shared" si="21"/>
        <v>0</v>
      </c>
      <c r="DD70" t="s">
        <v>3</v>
      </c>
      <c r="DE70" t="s">
        <v>3</v>
      </c>
      <c r="DF70">
        <f t="shared" si="22"/>
        <v>0</v>
      </c>
      <c r="DG70">
        <f>ROUND(ROUND(AF70,2)*CX70,2)</f>
        <v>102.63</v>
      </c>
      <c r="DH70">
        <f t="shared" si="23"/>
        <v>0</v>
      </c>
      <c r="DI70">
        <f t="shared" si="24"/>
        <v>0</v>
      </c>
      <c r="DJ70">
        <f>DG70+DH70</f>
        <v>102.63</v>
      </c>
      <c r="DK70">
        <v>1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ROW(Source!A109)</f>
        <v>109</v>
      </c>
      <c r="B71">
        <v>65178645</v>
      </c>
      <c r="C71">
        <v>65179022</v>
      </c>
      <c r="D71">
        <v>56572969</v>
      </c>
      <c r="E71">
        <v>1</v>
      </c>
      <c r="F71">
        <v>1</v>
      </c>
      <c r="G71">
        <v>1</v>
      </c>
      <c r="H71">
        <v>2</v>
      </c>
      <c r="I71" t="s">
        <v>393</v>
      </c>
      <c r="J71" t="s">
        <v>394</v>
      </c>
      <c r="K71" t="s">
        <v>395</v>
      </c>
      <c r="L71">
        <v>1368</v>
      </c>
      <c r="N71">
        <v>1011</v>
      </c>
      <c r="O71" t="s">
        <v>378</v>
      </c>
      <c r="P71" t="s">
        <v>378</v>
      </c>
      <c r="Q71">
        <v>1</v>
      </c>
      <c r="W71">
        <v>0</v>
      </c>
      <c r="X71">
        <v>-1976387145</v>
      </c>
      <c r="Y71">
        <f t="shared" si="19"/>
        <v>0.14000000000000001</v>
      </c>
      <c r="AA71">
        <v>0</v>
      </c>
      <c r="AB71">
        <v>559.61</v>
      </c>
      <c r="AC71">
        <v>490.55</v>
      </c>
      <c r="AD71">
        <v>0</v>
      </c>
      <c r="AE71">
        <v>0</v>
      </c>
      <c r="AF71">
        <v>482.42</v>
      </c>
      <c r="AG71">
        <v>490.55</v>
      </c>
      <c r="AH71">
        <v>0</v>
      </c>
      <c r="AI71">
        <v>1</v>
      </c>
      <c r="AJ71">
        <v>1.1599999999999999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0</v>
      </c>
      <c r="AQ71">
        <v>1</v>
      </c>
      <c r="AR71">
        <v>0</v>
      </c>
      <c r="AS71" t="s">
        <v>3</v>
      </c>
      <c r="AT71">
        <v>0.14000000000000001</v>
      </c>
      <c r="AU71" t="s">
        <v>3</v>
      </c>
      <c r="AV71">
        <v>1</v>
      </c>
      <c r="AW71">
        <v>2</v>
      </c>
      <c r="AX71">
        <v>65179030</v>
      </c>
      <c r="AY71">
        <v>1</v>
      </c>
      <c r="AZ71">
        <v>0</v>
      </c>
      <c r="BA71">
        <v>71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67.538800000000009</v>
      </c>
      <c r="BL71">
        <v>68.677000000000007</v>
      </c>
      <c r="BM71">
        <v>0</v>
      </c>
      <c r="BN71">
        <v>0</v>
      </c>
      <c r="BO71">
        <v>0.14000000000000001</v>
      </c>
      <c r="BP71">
        <v>1</v>
      </c>
      <c r="BQ71">
        <v>0</v>
      </c>
      <c r="BR71">
        <v>67.538800000000009</v>
      </c>
      <c r="BS71">
        <v>68.677000000000007</v>
      </c>
      <c r="BT71">
        <v>0</v>
      </c>
      <c r="BU71">
        <v>0</v>
      </c>
      <c r="BV71">
        <v>0.14000000000000001</v>
      </c>
      <c r="BW71">
        <v>1</v>
      </c>
      <c r="CV71">
        <v>0</v>
      </c>
      <c r="CW71">
        <f>ROUND(Y71*Source!I109*DO71,7)</f>
        <v>6.16</v>
      </c>
      <c r="CX71">
        <f>ROUND(Y71*Source!I109,7)</f>
        <v>6.16</v>
      </c>
      <c r="CY71">
        <f>AB71</f>
        <v>559.61</v>
      </c>
      <c r="CZ71">
        <f>AF71</f>
        <v>482.42</v>
      </c>
      <c r="DA71">
        <f>AJ71</f>
        <v>1.1599999999999999</v>
      </c>
      <c r="DB71">
        <f t="shared" si="20"/>
        <v>67.540000000000006</v>
      </c>
      <c r="DC71">
        <f t="shared" si="21"/>
        <v>68.680000000000007</v>
      </c>
      <c r="DD71" t="s">
        <v>3</v>
      </c>
      <c r="DE71" t="s">
        <v>3</v>
      </c>
      <c r="DF71">
        <f t="shared" si="22"/>
        <v>0</v>
      </c>
      <c r="DG71">
        <f>ROUND(ROUND(AF71*AJ71,2)*CX71,2)</f>
        <v>3447.2</v>
      </c>
      <c r="DH71">
        <f t="shared" si="23"/>
        <v>3021.79</v>
      </c>
      <c r="DI71">
        <f t="shared" si="24"/>
        <v>0</v>
      </c>
      <c r="DJ71">
        <f>DG71+DH71</f>
        <v>6468.99</v>
      </c>
      <c r="DK71">
        <v>0</v>
      </c>
      <c r="DL71" t="s">
        <v>383</v>
      </c>
      <c r="DM71">
        <v>4</v>
      </c>
      <c r="DN71" t="s">
        <v>372</v>
      </c>
      <c r="DO71">
        <v>1</v>
      </c>
    </row>
    <row r="72" spans="1:119" x14ac:dyDescent="0.2">
      <c r="A72">
        <f>ROW(Source!A110)</f>
        <v>110</v>
      </c>
      <c r="B72">
        <v>65178645</v>
      </c>
      <c r="C72">
        <v>65179060</v>
      </c>
      <c r="D72">
        <v>63884131</v>
      </c>
      <c r="E72">
        <v>112</v>
      </c>
      <c r="F72">
        <v>1</v>
      </c>
      <c r="G72">
        <v>1</v>
      </c>
      <c r="H72">
        <v>1</v>
      </c>
      <c r="I72" t="s">
        <v>447</v>
      </c>
      <c r="J72" t="s">
        <v>3</v>
      </c>
      <c r="K72" t="s">
        <v>448</v>
      </c>
      <c r="L72">
        <v>1191</v>
      </c>
      <c r="N72">
        <v>1013</v>
      </c>
      <c r="O72" t="s">
        <v>372</v>
      </c>
      <c r="P72" t="s">
        <v>372</v>
      </c>
      <c r="Q72">
        <v>1</v>
      </c>
      <c r="W72">
        <v>0</v>
      </c>
      <c r="X72">
        <v>32079103</v>
      </c>
      <c r="Y72">
        <f t="shared" si="19"/>
        <v>3.06</v>
      </c>
      <c r="AA72">
        <v>0</v>
      </c>
      <c r="AB72">
        <v>0</v>
      </c>
      <c r="AC72">
        <v>0</v>
      </c>
      <c r="AD72">
        <v>452.11</v>
      </c>
      <c r="AE72">
        <v>0</v>
      </c>
      <c r="AF72">
        <v>0</v>
      </c>
      <c r="AG72">
        <v>0</v>
      </c>
      <c r="AH72">
        <v>452.11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0</v>
      </c>
      <c r="AP72">
        <v>1</v>
      </c>
      <c r="AQ72">
        <v>1</v>
      </c>
      <c r="AR72">
        <v>0</v>
      </c>
      <c r="AS72" t="s">
        <v>3</v>
      </c>
      <c r="AT72">
        <v>3.06</v>
      </c>
      <c r="AU72" t="s">
        <v>3</v>
      </c>
      <c r="AV72">
        <v>1</v>
      </c>
      <c r="AW72">
        <v>2</v>
      </c>
      <c r="AX72">
        <v>65179683</v>
      </c>
      <c r="AY72">
        <v>1</v>
      </c>
      <c r="AZ72">
        <v>0</v>
      </c>
      <c r="BA72">
        <v>72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1383.4566</v>
      </c>
      <c r="BN72">
        <v>3.06</v>
      </c>
      <c r="BO72">
        <v>0</v>
      </c>
      <c r="BP72">
        <v>1</v>
      </c>
      <c r="BQ72">
        <v>0</v>
      </c>
      <c r="BR72">
        <v>0</v>
      </c>
      <c r="BS72">
        <v>0</v>
      </c>
      <c r="BT72">
        <v>1383.4566</v>
      </c>
      <c r="BU72">
        <v>3.06</v>
      </c>
      <c r="BV72">
        <v>0</v>
      </c>
      <c r="BW72">
        <v>1</v>
      </c>
      <c r="CU72">
        <f>ROUND(AT72*Source!I110*AH72*AL72,2)</f>
        <v>27669.13</v>
      </c>
      <c r="CV72">
        <f>ROUND(Y72*Source!I110,7)</f>
        <v>61.2</v>
      </c>
      <c r="CW72">
        <v>0</v>
      </c>
      <c r="CX72">
        <f>ROUND(Y72*Source!I110,7)</f>
        <v>61.2</v>
      </c>
      <c r="CY72">
        <f>AD72</f>
        <v>452.11</v>
      </c>
      <c r="CZ72">
        <f>AH72</f>
        <v>452.11</v>
      </c>
      <c r="DA72">
        <f>AL72</f>
        <v>1</v>
      </c>
      <c r="DB72">
        <f t="shared" si="20"/>
        <v>1383.46</v>
      </c>
      <c r="DC72">
        <f t="shared" si="21"/>
        <v>0</v>
      </c>
      <c r="DD72" t="s">
        <v>3</v>
      </c>
      <c r="DE72" t="s">
        <v>3</v>
      </c>
      <c r="DF72">
        <f t="shared" si="22"/>
        <v>0</v>
      </c>
      <c r="DG72">
        <f>ROUND(ROUND(AF72,2)*CX72,2)</f>
        <v>0</v>
      </c>
      <c r="DH72">
        <f t="shared" si="23"/>
        <v>0</v>
      </c>
      <c r="DI72">
        <f t="shared" si="24"/>
        <v>27669.13</v>
      </c>
      <c r="DJ72">
        <f>DI72</f>
        <v>27669.13</v>
      </c>
      <c r="DK72">
        <v>1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ROW(Source!A110)</f>
        <v>110</v>
      </c>
      <c r="B73">
        <v>65178645</v>
      </c>
      <c r="C73">
        <v>65179060</v>
      </c>
      <c r="D73">
        <v>63884368</v>
      </c>
      <c r="E73">
        <v>112</v>
      </c>
      <c r="F73">
        <v>1</v>
      </c>
      <c r="G73">
        <v>1</v>
      </c>
      <c r="H73">
        <v>1</v>
      </c>
      <c r="I73" t="s">
        <v>373</v>
      </c>
      <c r="J73" t="s">
        <v>3</v>
      </c>
      <c r="K73" t="s">
        <v>374</v>
      </c>
      <c r="L73">
        <v>1191</v>
      </c>
      <c r="N73">
        <v>1013</v>
      </c>
      <c r="O73" t="s">
        <v>372</v>
      </c>
      <c r="P73" t="s">
        <v>372</v>
      </c>
      <c r="Q73">
        <v>1</v>
      </c>
      <c r="W73">
        <v>0</v>
      </c>
      <c r="X73">
        <v>-1417349443</v>
      </c>
      <c r="Y73">
        <f t="shared" si="19"/>
        <v>0.87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0.87</v>
      </c>
      <c r="AU73" t="s">
        <v>3</v>
      </c>
      <c r="AV73">
        <v>2</v>
      </c>
      <c r="AW73">
        <v>2</v>
      </c>
      <c r="AX73">
        <v>65179684</v>
      </c>
      <c r="AY73">
        <v>1</v>
      </c>
      <c r="AZ73">
        <v>0</v>
      </c>
      <c r="BA73">
        <v>73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ROUND(Y73*Source!I110,7)</f>
        <v>17.399999999999999</v>
      </c>
      <c r="CY73">
        <f>AD73</f>
        <v>0</v>
      </c>
      <c r="CZ73">
        <f>AH73</f>
        <v>0</v>
      </c>
      <c r="DA73">
        <f>AL73</f>
        <v>1</v>
      </c>
      <c r="DB73">
        <f t="shared" si="20"/>
        <v>0</v>
      </c>
      <c r="DC73">
        <f t="shared" si="21"/>
        <v>0</v>
      </c>
      <c r="DD73" t="s">
        <v>3</v>
      </c>
      <c r="DE73" t="s">
        <v>3</v>
      </c>
      <c r="DF73">
        <f t="shared" si="22"/>
        <v>0</v>
      </c>
      <c r="DG73">
        <f>ROUND(ROUND(AF73,2)*CX73,2)</f>
        <v>0</v>
      </c>
      <c r="DH73">
        <f t="shared" si="23"/>
        <v>0</v>
      </c>
      <c r="DI73">
        <f t="shared" si="24"/>
        <v>0</v>
      </c>
      <c r="DJ73">
        <f>DI73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ROW(Source!A110)</f>
        <v>110</v>
      </c>
      <c r="B74">
        <v>65178645</v>
      </c>
      <c r="C74">
        <v>65179060</v>
      </c>
      <c r="D74">
        <v>64001401</v>
      </c>
      <c r="E74">
        <v>1</v>
      </c>
      <c r="F74">
        <v>1</v>
      </c>
      <c r="G74">
        <v>1</v>
      </c>
      <c r="H74">
        <v>2</v>
      </c>
      <c r="I74" t="s">
        <v>375</v>
      </c>
      <c r="J74" t="s">
        <v>449</v>
      </c>
      <c r="K74" t="s">
        <v>377</v>
      </c>
      <c r="L74">
        <v>1368</v>
      </c>
      <c r="N74">
        <v>1011</v>
      </c>
      <c r="O74" t="s">
        <v>378</v>
      </c>
      <c r="P74" t="s">
        <v>378</v>
      </c>
      <c r="Q74">
        <v>1</v>
      </c>
      <c r="W74">
        <v>0</v>
      </c>
      <c r="X74">
        <v>-1030140311</v>
      </c>
      <c r="Y74">
        <f t="shared" si="19"/>
        <v>0.68</v>
      </c>
      <c r="AA74">
        <v>0</v>
      </c>
      <c r="AB74">
        <v>2548.3000000000002</v>
      </c>
      <c r="AC74">
        <v>563.76</v>
      </c>
      <c r="AD74">
        <v>0</v>
      </c>
      <c r="AE74">
        <v>0</v>
      </c>
      <c r="AF74">
        <v>2088.77</v>
      </c>
      <c r="AG74">
        <v>563.76</v>
      </c>
      <c r="AH74">
        <v>0</v>
      </c>
      <c r="AI74">
        <v>1</v>
      </c>
      <c r="AJ74">
        <v>1.22</v>
      </c>
      <c r="AK74">
        <v>1</v>
      </c>
      <c r="AL74">
        <v>1</v>
      </c>
      <c r="AM74">
        <v>2</v>
      </c>
      <c r="AN74">
        <v>0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0.68</v>
      </c>
      <c r="AU74" t="s">
        <v>3</v>
      </c>
      <c r="AV74">
        <v>1</v>
      </c>
      <c r="AW74">
        <v>2</v>
      </c>
      <c r="AX74">
        <v>65179685</v>
      </c>
      <c r="AY74">
        <v>1</v>
      </c>
      <c r="AZ74">
        <v>0</v>
      </c>
      <c r="BA74">
        <v>74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1420.3636000000001</v>
      </c>
      <c r="BL74">
        <v>383.35680000000002</v>
      </c>
      <c r="BM74">
        <v>0</v>
      </c>
      <c r="BN74">
        <v>0</v>
      </c>
      <c r="BO74">
        <v>0.68</v>
      </c>
      <c r="BP74">
        <v>1</v>
      </c>
      <c r="BQ74">
        <v>0</v>
      </c>
      <c r="BR74">
        <v>1420.3636000000001</v>
      </c>
      <c r="BS74">
        <v>383.35680000000002</v>
      </c>
      <c r="BT74">
        <v>0</v>
      </c>
      <c r="BU74">
        <v>0</v>
      </c>
      <c r="BV74">
        <v>0.68</v>
      </c>
      <c r="BW74">
        <v>1</v>
      </c>
      <c r="CV74">
        <v>0</v>
      </c>
      <c r="CW74">
        <f>ROUND(Y74*Source!I110*DO74,7)</f>
        <v>13.6</v>
      </c>
      <c r="CX74">
        <f>ROUND(Y74*Source!I110,7)</f>
        <v>13.6</v>
      </c>
      <c r="CY74">
        <f>AB74</f>
        <v>2548.3000000000002</v>
      </c>
      <c r="CZ74">
        <f>AF74</f>
        <v>2088.77</v>
      </c>
      <c r="DA74">
        <f>AJ74</f>
        <v>1.22</v>
      </c>
      <c r="DB74">
        <f t="shared" si="20"/>
        <v>1420.36</v>
      </c>
      <c r="DC74">
        <f t="shared" si="21"/>
        <v>383.36</v>
      </c>
      <c r="DD74" t="s">
        <v>3</v>
      </c>
      <c r="DE74" t="s">
        <v>3</v>
      </c>
      <c r="DF74">
        <f t="shared" si="22"/>
        <v>0</v>
      </c>
      <c r="DG74">
        <f>ROUND(ROUND(AF74*AJ74,2)*CX74,2)</f>
        <v>34656.879999999997</v>
      </c>
      <c r="DH74">
        <f t="shared" si="23"/>
        <v>7667.14</v>
      </c>
      <c r="DI74">
        <f t="shared" si="24"/>
        <v>0</v>
      </c>
      <c r="DJ74">
        <f>DG74+DH74</f>
        <v>42324.02</v>
      </c>
      <c r="DK74">
        <v>0</v>
      </c>
      <c r="DL74" t="s">
        <v>379</v>
      </c>
      <c r="DM74">
        <v>5</v>
      </c>
      <c r="DN74" t="s">
        <v>372</v>
      </c>
      <c r="DO74">
        <v>1</v>
      </c>
    </row>
    <row r="75" spans="1:119" x14ac:dyDescent="0.2">
      <c r="A75">
        <f>ROW(Source!A110)</f>
        <v>110</v>
      </c>
      <c r="B75">
        <v>65178645</v>
      </c>
      <c r="C75">
        <v>65179060</v>
      </c>
      <c r="D75">
        <v>64002400</v>
      </c>
      <c r="E75">
        <v>1</v>
      </c>
      <c r="F75">
        <v>1</v>
      </c>
      <c r="G75">
        <v>1</v>
      </c>
      <c r="H75">
        <v>2</v>
      </c>
      <c r="I75" t="s">
        <v>380</v>
      </c>
      <c r="J75" t="s">
        <v>381</v>
      </c>
      <c r="K75" t="s">
        <v>382</v>
      </c>
      <c r="L75">
        <v>1368</v>
      </c>
      <c r="N75">
        <v>1011</v>
      </c>
      <c r="O75" t="s">
        <v>378</v>
      </c>
      <c r="P75" t="s">
        <v>378</v>
      </c>
      <c r="Q75">
        <v>1</v>
      </c>
      <c r="W75">
        <v>0</v>
      </c>
      <c r="X75">
        <v>1032761012</v>
      </c>
      <c r="Y75">
        <f t="shared" si="19"/>
        <v>0.19</v>
      </c>
      <c r="AA75">
        <v>0</v>
      </c>
      <c r="AB75">
        <v>578.28</v>
      </c>
      <c r="AC75">
        <v>490.55</v>
      </c>
      <c r="AD75">
        <v>0</v>
      </c>
      <c r="AE75">
        <v>0</v>
      </c>
      <c r="AF75">
        <v>477.92</v>
      </c>
      <c r="AG75">
        <v>490.55</v>
      </c>
      <c r="AH75">
        <v>0</v>
      </c>
      <c r="AI75">
        <v>1</v>
      </c>
      <c r="AJ75">
        <v>1.21</v>
      </c>
      <c r="AK75">
        <v>1</v>
      </c>
      <c r="AL75">
        <v>1</v>
      </c>
      <c r="AM75">
        <v>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0.19</v>
      </c>
      <c r="AU75" t="s">
        <v>3</v>
      </c>
      <c r="AV75">
        <v>1</v>
      </c>
      <c r="AW75">
        <v>2</v>
      </c>
      <c r="AX75">
        <v>65179686</v>
      </c>
      <c r="AY75">
        <v>1</v>
      </c>
      <c r="AZ75">
        <v>0</v>
      </c>
      <c r="BA75">
        <v>75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90.8048</v>
      </c>
      <c r="BL75">
        <v>93.20450000000001</v>
      </c>
      <c r="BM75">
        <v>0</v>
      </c>
      <c r="BN75">
        <v>0</v>
      </c>
      <c r="BO75">
        <v>0.19</v>
      </c>
      <c r="BP75">
        <v>1</v>
      </c>
      <c r="BQ75">
        <v>0</v>
      </c>
      <c r="BR75">
        <v>90.8048</v>
      </c>
      <c r="BS75">
        <v>93.20450000000001</v>
      </c>
      <c r="BT75">
        <v>0</v>
      </c>
      <c r="BU75">
        <v>0</v>
      </c>
      <c r="BV75">
        <v>0.19</v>
      </c>
      <c r="BW75">
        <v>1</v>
      </c>
      <c r="CV75">
        <v>0</v>
      </c>
      <c r="CW75">
        <f>ROUND(Y75*Source!I110*DO75,7)</f>
        <v>3.8</v>
      </c>
      <c r="CX75">
        <f>ROUND(Y75*Source!I110,7)</f>
        <v>3.8</v>
      </c>
      <c r="CY75">
        <f>AB75</f>
        <v>578.28</v>
      </c>
      <c r="CZ75">
        <f>AF75</f>
        <v>477.92</v>
      </c>
      <c r="DA75">
        <f>AJ75</f>
        <v>1.21</v>
      </c>
      <c r="DB75">
        <f t="shared" si="20"/>
        <v>90.8</v>
      </c>
      <c r="DC75">
        <f t="shared" si="21"/>
        <v>93.2</v>
      </c>
      <c r="DD75" t="s">
        <v>3</v>
      </c>
      <c r="DE75" t="s">
        <v>3</v>
      </c>
      <c r="DF75">
        <f t="shared" si="22"/>
        <v>0</v>
      </c>
      <c r="DG75">
        <f>ROUND(ROUND(AF75*AJ75,2)*CX75,2)</f>
        <v>2197.46</v>
      </c>
      <c r="DH75">
        <f t="shared" si="23"/>
        <v>1864.09</v>
      </c>
      <c r="DI75">
        <f t="shared" si="24"/>
        <v>0</v>
      </c>
      <c r="DJ75">
        <f>DG75+DH75</f>
        <v>4061.55</v>
      </c>
      <c r="DK75">
        <v>0</v>
      </c>
      <c r="DL75" t="s">
        <v>383</v>
      </c>
      <c r="DM75">
        <v>4</v>
      </c>
      <c r="DN75" t="s">
        <v>372</v>
      </c>
      <c r="DO75">
        <v>1</v>
      </c>
    </row>
    <row r="76" spans="1:119" x14ac:dyDescent="0.2">
      <c r="A76">
        <f>ROW(Source!A110)</f>
        <v>110</v>
      </c>
      <c r="B76">
        <v>65178645</v>
      </c>
      <c r="C76">
        <v>65179060</v>
      </c>
      <c r="D76">
        <v>63953092</v>
      </c>
      <c r="E76">
        <v>1</v>
      </c>
      <c r="F76">
        <v>1</v>
      </c>
      <c r="G76">
        <v>1</v>
      </c>
      <c r="H76">
        <v>3</v>
      </c>
      <c r="I76" t="s">
        <v>450</v>
      </c>
      <c r="J76" t="s">
        <v>451</v>
      </c>
      <c r="K76" t="s">
        <v>452</v>
      </c>
      <c r="L76">
        <v>1346</v>
      </c>
      <c r="N76">
        <v>1009</v>
      </c>
      <c r="O76" t="s">
        <v>253</v>
      </c>
      <c r="P76" t="s">
        <v>253</v>
      </c>
      <c r="Q76">
        <v>1</v>
      </c>
      <c r="W76">
        <v>0</v>
      </c>
      <c r="X76">
        <v>1205799243</v>
      </c>
      <c r="Y76">
        <f t="shared" si="19"/>
        <v>0.1</v>
      </c>
      <c r="AA76">
        <v>421.77</v>
      </c>
      <c r="AB76">
        <v>0</v>
      </c>
      <c r="AC76">
        <v>0</v>
      </c>
      <c r="AD76">
        <v>0</v>
      </c>
      <c r="AE76">
        <v>238.29</v>
      </c>
      <c r="AF76">
        <v>0</v>
      </c>
      <c r="AG76">
        <v>0</v>
      </c>
      <c r="AH76">
        <v>0</v>
      </c>
      <c r="AI76">
        <v>1.77</v>
      </c>
      <c r="AJ76">
        <v>1</v>
      </c>
      <c r="AK76">
        <v>1</v>
      </c>
      <c r="AL76">
        <v>1</v>
      </c>
      <c r="AM76">
        <v>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3</v>
      </c>
      <c r="AT76">
        <v>0.1</v>
      </c>
      <c r="AU76" t="s">
        <v>3</v>
      </c>
      <c r="AV76">
        <v>0</v>
      </c>
      <c r="AW76">
        <v>2</v>
      </c>
      <c r="AX76">
        <v>65179687</v>
      </c>
      <c r="AY76">
        <v>1</v>
      </c>
      <c r="AZ76">
        <v>0</v>
      </c>
      <c r="BA76">
        <v>76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23.829000000000001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1</v>
      </c>
      <c r="BQ76">
        <v>23.829000000000001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1</v>
      </c>
      <c r="CV76">
        <v>0</v>
      </c>
      <c r="CW76">
        <v>0</v>
      </c>
      <c r="CX76">
        <f>ROUND(Y76*Source!I110,7)</f>
        <v>2</v>
      </c>
      <c r="CY76">
        <f t="shared" ref="CY76:CY89" si="25">AA76</f>
        <v>421.77</v>
      </c>
      <c r="CZ76">
        <f t="shared" ref="CZ76:CZ89" si="26">AE76</f>
        <v>238.29</v>
      </c>
      <c r="DA76">
        <f t="shared" ref="DA76:DA89" si="27">AI76</f>
        <v>1.77</v>
      </c>
      <c r="DB76">
        <f t="shared" si="20"/>
        <v>23.83</v>
      </c>
      <c r="DC76">
        <f t="shared" si="21"/>
        <v>0</v>
      </c>
      <c r="DD76" t="s">
        <v>3</v>
      </c>
      <c r="DE76" t="s">
        <v>3</v>
      </c>
      <c r="DF76">
        <f>ROUND(ROUND(AE76*AI76,2)*CX76,2)</f>
        <v>843.54</v>
      </c>
      <c r="DG76">
        <f t="shared" ref="DG76:DG91" si="28">ROUND(ROUND(AF76,2)*CX76,2)</f>
        <v>0</v>
      </c>
      <c r="DH76">
        <f t="shared" si="23"/>
        <v>0</v>
      </c>
      <c r="DI76">
        <f t="shared" si="24"/>
        <v>0</v>
      </c>
      <c r="DJ76">
        <f t="shared" ref="DJ76:DJ89" si="29">DF76</f>
        <v>843.54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ROW(Source!A110)</f>
        <v>110</v>
      </c>
      <c r="B77">
        <v>65178645</v>
      </c>
      <c r="C77">
        <v>65179060</v>
      </c>
      <c r="D77">
        <v>63953099</v>
      </c>
      <c r="E77">
        <v>1</v>
      </c>
      <c r="F77">
        <v>1</v>
      </c>
      <c r="G77">
        <v>1</v>
      </c>
      <c r="H77">
        <v>3</v>
      </c>
      <c r="I77" t="s">
        <v>453</v>
      </c>
      <c r="J77" t="s">
        <v>454</v>
      </c>
      <c r="K77" t="s">
        <v>455</v>
      </c>
      <c r="L77">
        <v>1346</v>
      </c>
      <c r="N77">
        <v>1009</v>
      </c>
      <c r="O77" t="s">
        <v>253</v>
      </c>
      <c r="P77" t="s">
        <v>253</v>
      </c>
      <c r="Q77">
        <v>1</v>
      </c>
      <c r="W77">
        <v>0</v>
      </c>
      <c r="X77">
        <v>1757275136</v>
      </c>
      <c r="Y77">
        <f t="shared" si="19"/>
        <v>0.03</v>
      </c>
      <c r="AA77">
        <v>103.6</v>
      </c>
      <c r="AB77">
        <v>0</v>
      </c>
      <c r="AC77">
        <v>0</v>
      </c>
      <c r="AD77">
        <v>0</v>
      </c>
      <c r="AE77">
        <v>58.53</v>
      </c>
      <c r="AF77">
        <v>0</v>
      </c>
      <c r="AG77">
        <v>0</v>
      </c>
      <c r="AH77">
        <v>0</v>
      </c>
      <c r="AI77">
        <v>1.77</v>
      </c>
      <c r="AJ77">
        <v>1</v>
      </c>
      <c r="AK77">
        <v>1</v>
      </c>
      <c r="AL77">
        <v>1</v>
      </c>
      <c r="AM77">
        <v>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3</v>
      </c>
      <c r="AT77">
        <v>0.03</v>
      </c>
      <c r="AU77" t="s">
        <v>3</v>
      </c>
      <c r="AV77">
        <v>0</v>
      </c>
      <c r="AW77">
        <v>2</v>
      </c>
      <c r="AX77">
        <v>65179688</v>
      </c>
      <c r="AY77">
        <v>1</v>
      </c>
      <c r="AZ77">
        <v>0</v>
      </c>
      <c r="BA77">
        <v>77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1.7559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1</v>
      </c>
      <c r="BQ77">
        <v>1.7559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1</v>
      </c>
      <c r="CV77">
        <v>0</v>
      </c>
      <c r="CW77">
        <v>0</v>
      </c>
      <c r="CX77">
        <f>ROUND(Y77*Source!I110,7)</f>
        <v>0.6</v>
      </c>
      <c r="CY77">
        <f t="shared" si="25"/>
        <v>103.6</v>
      </c>
      <c r="CZ77">
        <f t="shared" si="26"/>
        <v>58.53</v>
      </c>
      <c r="DA77">
        <f t="shared" si="27"/>
        <v>1.77</v>
      </c>
      <c r="DB77">
        <f t="shared" si="20"/>
        <v>1.76</v>
      </c>
      <c r="DC77">
        <f t="shared" si="21"/>
        <v>0</v>
      </c>
      <c r="DD77" t="s">
        <v>3</v>
      </c>
      <c r="DE77" t="s">
        <v>3</v>
      </c>
      <c r="DF77">
        <f>ROUND(ROUND(AE77*AI77,2)*CX77,2)</f>
        <v>62.16</v>
      </c>
      <c r="DG77">
        <f t="shared" si="28"/>
        <v>0</v>
      </c>
      <c r="DH77">
        <f t="shared" si="23"/>
        <v>0</v>
      </c>
      <c r="DI77">
        <f t="shared" si="24"/>
        <v>0</v>
      </c>
      <c r="DJ77">
        <f t="shared" si="29"/>
        <v>62.16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ROW(Source!A110)</f>
        <v>110</v>
      </c>
      <c r="B78">
        <v>65178645</v>
      </c>
      <c r="C78">
        <v>65179060</v>
      </c>
      <c r="D78">
        <v>63956166</v>
      </c>
      <c r="E78">
        <v>1</v>
      </c>
      <c r="F78">
        <v>1</v>
      </c>
      <c r="G78">
        <v>1</v>
      </c>
      <c r="H78">
        <v>3</v>
      </c>
      <c r="I78" t="s">
        <v>411</v>
      </c>
      <c r="J78" t="s">
        <v>412</v>
      </c>
      <c r="K78" t="s">
        <v>413</v>
      </c>
      <c r="L78">
        <v>1346</v>
      </c>
      <c r="N78">
        <v>1009</v>
      </c>
      <c r="O78" t="s">
        <v>253</v>
      </c>
      <c r="P78" t="s">
        <v>253</v>
      </c>
      <c r="Q78">
        <v>1</v>
      </c>
      <c r="W78">
        <v>0</v>
      </c>
      <c r="X78">
        <v>1271338475</v>
      </c>
      <c r="Y78">
        <f t="shared" si="19"/>
        <v>0</v>
      </c>
      <c r="AA78">
        <v>201.17</v>
      </c>
      <c r="AB78">
        <v>0</v>
      </c>
      <c r="AC78">
        <v>0</v>
      </c>
      <c r="AD78">
        <v>0</v>
      </c>
      <c r="AE78">
        <v>174.93</v>
      </c>
      <c r="AF78">
        <v>0</v>
      </c>
      <c r="AG78">
        <v>0</v>
      </c>
      <c r="AH78">
        <v>0</v>
      </c>
      <c r="AI78">
        <v>1.1499999999999999</v>
      </c>
      <c r="AJ78">
        <v>1</v>
      </c>
      <c r="AK78">
        <v>1</v>
      </c>
      <c r="AL78">
        <v>1</v>
      </c>
      <c r="AM78">
        <v>2</v>
      </c>
      <c r="AN78">
        <v>1</v>
      </c>
      <c r="AO78">
        <v>0</v>
      </c>
      <c r="AP78">
        <v>1</v>
      </c>
      <c r="AQ78">
        <v>1</v>
      </c>
      <c r="AR78">
        <v>0</v>
      </c>
      <c r="AS78" t="s">
        <v>3</v>
      </c>
      <c r="AT78">
        <v>0</v>
      </c>
      <c r="AU78" t="s">
        <v>3</v>
      </c>
      <c r="AV78">
        <v>0</v>
      </c>
      <c r="AW78">
        <v>2</v>
      </c>
      <c r="AX78">
        <v>65179689</v>
      </c>
      <c r="AY78">
        <v>1</v>
      </c>
      <c r="AZ78">
        <v>0</v>
      </c>
      <c r="BA78">
        <v>78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ROUND(Y78*Source!I110,7)</f>
        <v>0</v>
      </c>
      <c r="CY78">
        <f t="shared" si="25"/>
        <v>201.17</v>
      </c>
      <c r="CZ78">
        <f t="shared" si="26"/>
        <v>174.93</v>
      </c>
      <c r="DA78">
        <f t="shared" si="27"/>
        <v>1.1499999999999999</v>
      </c>
      <c r="DB78">
        <f t="shared" si="20"/>
        <v>0</v>
      </c>
      <c r="DC78">
        <f t="shared" si="21"/>
        <v>0</v>
      </c>
      <c r="DD78" t="s">
        <v>3</v>
      </c>
      <c r="DE78" t="s">
        <v>3</v>
      </c>
      <c r="DF78">
        <f>ROUND(ROUND(AE78*AI78,2)*CX78,2)</f>
        <v>0</v>
      </c>
      <c r="DG78">
        <f t="shared" si="28"/>
        <v>0</v>
      </c>
      <c r="DH78">
        <f t="shared" si="23"/>
        <v>0</v>
      </c>
      <c r="DI78">
        <f t="shared" si="24"/>
        <v>0</v>
      </c>
      <c r="DJ78">
        <f t="shared" si="29"/>
        <v>0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ROW(Source!A110)</f>
        <v>110</v>
      </c>
      <c r="B79">
        <v>65178645</v>
      </c>
      <c r="C79">
        <v>65179060</v>
      </c>
      <c r="D79">
        <v>63957293</v>
      </c>
      <c r="E79">
        <v>1</v>
      </c>
      <c r="F79">
        <v>1</v>
      </c>
      <c r="G79">
        <v>1</v>
      </c>
      <c r="H79">
        <v>3</v>
      </c>
      <c r="I79" t="s">
        <v>456</v>
      </c>
      <c r="J79" t="s">
        <v>457</v>
      </c>
      <c r="K79" t="s">
        <v>458</v>
      </c>
      <c r="L79">
        <v>1346</v>
      </c>
      <c r="N79">
        <v>1009</v>
      </c>
      <c r="O79" t="s">
        <v>253</v>
      </c>
      <c r="P79" t="s">
        <v>253</v>
      </c>
      <c r="Q79">
        <v>1</v>
      </c>
      <c r="W79">
        <v>0</v>
      </c>
      <c r="X79">
        <v>1826362753</v>
      </c>
      <c r="Y79">
        <f t="shared" si="19"/>
        <v>0.02</v>
      </c>
      <c r="AA79">
        <v>77.989999999999995</v>
      </c>
      <c r="AB79">
        <v>0</v>
      </c>
      <c r="AC79">
        <v>0</v>
      </c>
      <c r="AD79">
        <v>0</v>
      </c>
      <c r="AE79">
        <v>56.11</v>
      </c>
      <c r="AF79">
        <v>0</v>
      </c>
      <c r="AG79">
        <v>0</v>
      </c>
      <c r="AH79">
        <v>0</v>
      </c>
      <c r="AI79">
        <v>1.39</v>
      </c>
      <c r="AJ79">
        <v>1</v>
      </c>
      <c r="AK79">
        <v>1</v>
      </c>
      <c r="AL79">
        <v>1</v>
      </c>
      <c r="AM79">
        <v>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3</v>
      </c>
      <c r="AT79">
        <v>0.02</v>
      </c>
      <c r="AU79" t="s">
        <v>3</v>
      </c>
      <c r="AV79">
        <v>0</v>
      </c>
      <c r="AW79">
        <v>2</v>
      </c>
      <c r="AX79">
        <v>65179690</v>
      </c>
      <c r="AY79">
        <v>1</v>
      </c>
      <c r="AZ79">
        <v>0</v>
      </c>
      <c r="BA79">
        <v>79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1.1222000000000001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1</v>
      </c>
      <c r="BQ79">
        <v>1.1222000000000001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1</v>
      </c>
      <c r="CV79">
        <v>0</v>
      </c>
      <c r="CW79">
        <v>0</v>
      </c>
      <c r="CX79">
        <f>ROUND(Y79*Source!I110,7)</f>
        <v>0.4</v>
      </c>
      <c r="CY79">
        <f t="shared" si="25"/>
        <v>77.989999999999995</v>
      </c>
      <c r="CZ79">
        <f t="shared" si="26"/>
        <v>56.11</v>
      </c>
      <c r="DA79">
        <f t="shared" si="27"/>
        <v>1.39</v>
      </c>
      <c r="DB79">
        <f t="shared" si="20"/>
        <v>1.1200000000000001</v>
      </c>
      <c r="DC79">
        <f t="shared" si="21"/>
        <v>0</v>
      </c>
      <c r="DD79" t="s">
        <v>3</v>
      </c>
      <c r="DE79" t="s">
        <v>3</v>
      </c>
      <c r="DF79">
        <f>ROUND(ROUND(AE79*AI79,2)*CX79,2)</f>
        <v>31.2</v>
      </c>
      <c r="DG79">
        <f t="shared" si="28"/>
        <v>0</v>
      </c>
      <c r="DH79">
        <f t="shared" si="23"/>
        <v>0</v>
      </c>
      <c r="DI79">
        <f t="shared" si="24"/>
        <v>0</v>
      </c>
      <c r="DJ79">
        <f t="shared" si="29"/>
        <v>31.2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ROW(Source!A110)</f>
        <v>110</v>
      </c>
      <c r="B80">
        <v>65178645</v>
      </c>
      <c r="C80">
        <v>65179060</v>
      </c>
      <c r="D80">
        <v>63885680</v>
      </c>
      <c r="E80">
        <v>112</v>
      </c>
      <c r="F80">
        <v>1</v>
      </c>
      <c r="G80">
        <v>1</v>
      </c>
      <c r="H80">
        <v>3</v>
      </c>
      <c r="I80" t="s">
        <v>459</v>
      </c>
      <c r="J80" t="s">
        <v>3</v>
      </c>
      <c r="K80" t="s">
        <v>460</v>
      </c>
      <c r="L80">
        <v>1371</v>
      </c>
      <c r="N80">
        <v>1013</v>
      </c>
      <c r="O80" t="s">
        <v>77</v>
      </c>
      <c r="P80" t="s">
        <v>77</v>
      </c>
      <c r="Q80">
        <v>1</v>
      </c>
      <c r="W80">
        <v>0</v>
      </c>
      <c r="X80">
        <v>457934895</v>
      </c>
      <c r="Y80">
        <f t="shared" si="19"/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1</v>
      </c>
      <c r="AO80">
        <v>0</v>
      </c>
      <c r="AP80">
        <v>1</v>
      </c>
      <c r="AQ80">
        <v>1</v>
      </c>
      <c r="AR80">
        <v>0</v>
      </c>
      <c r="AS80" t="s">
        <v>3</v>
      </c>
      <c r="AT80">
        <v>0</v>
      </c>
      <c r="AU80" t="s">
        <v>3</v>
      </c>
      <c r="AV80">
        <v>0</v>
      </c>
      <c r="AW80">
        <v>2</v>
      </c>
      <c r="AX80">
        <v>65179691</v>
      </c>
      <c r="AY80">
        <v>1</v>
      </c>
      <c r="AZ80">
        <v>0</v>
      </c>
      <c r="BA80">
        <v>80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ROUND(Y80*Source!I110,7)</f>
        <v>0</v>
      </c>
      <c r="CY80">
        <f t="shared" si="25"/>
        <v>0</v>
      </c>
      <c r="CZ80">
        <f t="shared" si="26"/>
        <v>0</v>
      </c>
      <c r="DA80">
        <f t="shared" si="27"/>
        <v>1</v>
      </c>
      <c r="DB80">
        <f t="shared" si="20"/>
        <v>0</v>
      </c>
      <c r="DC80">
        <f t="shared" si="21"/>
        <v>0</v>
      </c>
      <c r="DD80" t="s">
        <v>3</v>
      </c>
      <c r="DE80" t="s">
        <v>3</v>
      </c>
      <c r="DF80">
        <f>ROUND(ROUND(AE80,2)*CX80,2)</f>
        <v>0</v>
      </c>
      <c r="DG80">
        <f t="shared" si="28"/>
        <v>0</v>
      </c>
      <c r="DH80">
        <f t="shared" si="23"/>
        <v>0</v>
      </c>
      <c r="DI80">
        <f t="shared" si="24"/>
        <v>0</v>
      </c>
      <c r="DJ80">
        <f t="shared" si="29"/>
        <v>0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ROW(Source!A110)</f>
        <v>110</v>
      </c>
      <c r="B81">
        <v>65178645</v>
      </c>
      <c r="C81">
        <v>65179060</v>
      </c>
      <c r="D81">
        <v>63886352</v>
      </c>
      <c r="E81">
        <v>112</v>
      </c>
      <c r="F81">
        <v>1</v>
      </c>
      <c r="G81">
        <v>1</v>
      </c>
      <c r="H81">
        <v>3</v>
      </c>
      <c r="I81" t="s">
        <v>461</v>
      </c>
      <c r="J81" t="s">
        <v>3</v>
      </c>
      <c r="K81" t="s">
        <v>462</v>
      </c>
      <c r="L81">
        <v>1348</v>
      </c>
      <c r="N81">
        <v>1009</v>
      </c>
      <c r="O81" t="s">
        <v>244</v>
      </c>
      <c r="P81" t="s">
        <v>244</v>
      </c>
      <c r="Q81">
        <v>1000</v>
      </c>
      <c r="W81">
        <v>0</v>
      </c>
      <c r="X81">
        <v>1602794472</v>
      </c>
      <c r="Y81">
        <f t="shared" si="19"/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1</v>
      </c>
      <c r="AO81">
        <v>0</v>
      </c>
      <c r="AP81">
        <v>1</v>
      </c>
      <c r="AQ81">
        <v>1</v>
      </c>
      <c r="AR81">
        <v>0</v>
      </c>
      <c r="AS81" t="s">
        <v>3</v>
      </c>
      <c r="AT81">
        <v>0</v>
      </c>
      <c r="AU81" t="s">
        <v>3</v>
      </c>
      <c r="AV81">
        <v>0</v>
      </c>
      <c r="AW81">
        <v>2</v>
      </c>
      <c r="AX81">
        <v>65179692</v>
      </c>
      <c r="AY81">
        <v>1</v>
      </c>
      <c r="AZ81">
        <v>0</v>
      </c>
      <c r="BA81">
        <v>81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ROUND(Y81*Source!I110,7)</f>
        <v>0</v>
      </c>
      <c r="CY81">
        <f t="shared" si="25"/>
        <v>0</v>
      </c>
      <c r="CZ81">
        <f t="shared" si="26"/>
        <v>0</v>
      </c>
      <c r="DA81">
        <f t="shared" si="27"/>
        <v>1</v>
      </c>
      <c r="DB81">
        <f t="shared" si="20"/>
        <v>0</v>
      </c>
      <c r="DC81">
        <f t="shared" si="21"/>
        <v>0</v>
      </c>
      <c r="DD81" t="s">
        <v>3</v>
      </c>
      <c r="DE81" t="s">
        <v>3</v>
      </c>
      <c r="DF81">
        <f>ROUND(ROUND(AE81,2)*CX81,2)</f>
        <v>0</v>
      </c>
      <c r="DG81">
        <f t="shared" si="28"/>
        <v>0</v>
      </c>
      <c r="DH81">
        <f t="shared" si="23"/>
        <v>0</v>
      </c>
      <c r="DI81">
        <f t="shared" si="24"/>
        <v>0</v>
      </c>
      <c r="DJ81">
        <f t="shared" si="29"/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ROW(Source!A110)</f>
        <v>110</v>
      </c>
      <c r="B82">
        <v>65178645</v>
      </c>
      <c r="C82">
        <v>65179060</v>
      </c>
      <c r="D82">
        <v>63886499</v>
      </c>
      <c r="E82">
        <v>112</v>
      </c>
      <c r="F82">
        <v>1</v>
      </c>
      <c r="G82">
        <v>1</v>
      </c>
      <c r="H82">
        <v>3</v>
      </c>
      <c r="I82" t="s">
        <v>463</v>
      </c>
      <c r="J82" t="s">
        <v>3</v>
      </c>
      <c r="K82" t="s">
        <v>464</v>
      </c>
      <c r="L82">
        <v>1346</v>
      </c>
      <c r="N82">
        <v>1009</v>
      </c>
      <c r="O82" t="s">
        <v>253</v>
      </c>
      <c r="P82" t="s">
        <v>253</v>
      </c>
      <c r="Q82">
        <v>1</v>
      </c>
      <c r="W82">
        <v>0</v>
      </c>
      <c r="X82">
        <v>-1111733769</v>
      </c>
      <c r="Y82">
        <f t="shared" si="19"/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1</v>
      </c>
      <c r="AO82">
        <v>0</v>
      </c>
      <c r="AP82">
        <v>1</v>
      </c>
      <c r="AQ82">
        <v>1</v>
      </c>
      <c r="AR82">
        <v>0</v>
      </c>
      <c r="AS82" t="s">
        <v>3</v>
      </c>
      <c r="AT82">
        <v>0</v>
      </c>
      <c r="AU82" t="s">
        <v>3</v>
      </c>
      <c r="AV82">
        <v>0</v>
      </c>
      <c r="AW82">
        <v>2</v>
      </c>
      <c r="AX82">
        <v>65179693</v>
      </c>
      <c r="AY82">
        <v>1</v>
      </c>
      <c r="AZ82">
        <v>0</v>
      </c>
      <c r="BA82">
        <v>82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ROUND(Y82*Source!I110,7)</f>
        <v>0</v>
      </c>
      <c r="CY82">
        <f t="shared" si="25"/>
        <v>0</v>
      </c>
      <c r="CZ82">
        <f t="shared" si="26"/>
        <v>0</v>
      </c>
      <c r="DA82">
        <f t="shared" si="27"/>
        <v>1</v>
      </c>
      <c r="DB82">
        <f t="shared" si="20"/>
        <v>0</v>
      </c>
      <c r="DC82">
        <f t="shared" si="21"/>
        <v>0</v>
      </c>
      <c r="DD82" t="s">
        <v>3</v>
      </c>
      <c r="DE82" t="s">
        <v>3</v>
      </c>
      <c r="DF82">
        <f>ROUND(ROUND(AE82,2)*CX82,2)</f>
        <v>0</v>
      </c>
      <c r="DG82">
        <f t="shared" si="28"/>
        <v>0</v>
      </c>
      <c r="DH82">
        <f t="shared" si="23"/>
        <v>0</v>
      </c>
      <c r="DI82">
        <f t="shared" si="24"/>
        <v>0</v>
      </c>
      <c r="DJ82">
        <f t="shared" si="29"/>
        <v>0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ROW(Source!A110)</f>
        <v>110</v>
      </c>
      <c r="B83">
        <v>65178645</v>
      </c>
      <c r="C83">
        <v>65179060</v>
      </c>
      <c r="D83">
        <v>63886801</v>
      </c>
      <c r="E83">
        <v>112</v>
      </c>
      <c r="F83">
        <v>1</v>
      </c>
      <c r="G83">
        <v>1</v>
      </c>
      <c r="H83">
        <v>3</v>
      </c>
      <c r="I83" t="s">
        <v>465</v>
      </c>
      <c r="J83" t="s">
        <v>3</v>
      </c>
      <c r="K83" t="s">
        <v>466</v>
      </c>
      <c r="L83">
        <v>1348</v>
      </c>
      <c r="N83">
        <v>1009</v>
      </c>
      <c r="O83" t="s">
        <v>244</v>
      </c>
      <c r="P83" t="s">
        <v>244</v>
      </c>
      <c r="Q83">
        <v>1000</v>
      </c>
      <c r="W83">
        <v>0</v>
      </c>
      <c r="X83">
        <v>1613753229</v>
      </c>
      <c r="Y83">
        <f t="shared" si="19"/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1</v>
      </c>
      <c r="AO83">
        <v>0</v>
      </c>
      <c r="AP83">
        <v>1</v>
      </c>
      <c r="AQ83">
        <v>1</v>
      </c>
      <c r="AR83">
        <v>0</v>
      </c>
      <c r="AS83" t="s">
        <v>3</v>
      </c>
      <c r="AT83">
        <v>0</v>
      </c>
      <c r="AU83" t="s">
        <v>3</v>
      </c>
      <c r="AV83">
        <v>0</v>
      </c>
      <c r="AW83">
        <v>2</v>
      </c>
      <c r="AX83">
        <v>65179694</v>
      </c>
      <c r="AY83">
        <v>1</v>
      </c>
      <c r="AZ83">
        <v>0</v>
      </c>
      <c r="BA83">
        <v>83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ROUND(Y83*Source!I110,7)</f>
        <v>0</v>
      </c>
      <c r="CY83">
        <f t="shared" si="25"/>
        <v>0</v>
      </c>
      <c r="CZ83">
        <f t="shared" si="26"/>
        <v>0</v>
      </c>
      <c r="DA83">
        <f t="shared" si="27"/>
        <v>1</v>
      </c>
      <c r="DB83">
        <f t="shared" si="20"/>
        <v>0</v>
      </c>
      <c r="DC83">
        <f t="shared" si="21"/>
        <v>0</v>
      </c>
      <c r="DD83" t="s">
        <v>3</v>
      </c>
      <c r="DE83" t="s">
        <v>3</v>
      </c>
      <c r="DF83">
        <f>ROUND(ROUND(AE83,2)*CX83,2)</f>
        <v>0</v>
      </c>
      <c r="DG83">
        <f t="shared" si="28"/>
        <v>0</v>
      </c>
      <c r="DH83">
        <f t="shared" si="23"/>
        <v>0</v>
      </c>
      <c r="DI83">
        <f t="shared" si="24"/>
        <v>0</v>
      </c>
      <c r="DJ83">
        <f t="shared" si="29"/>
        <v>0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ROW(Source!A110)</f>
        <v>110</v>
      </c>
      <c r="B84">
        <v>65178645</v>
      </c>
      <c r="C84">
        <v>65179060</v>
      </c>
      <c r="D84">
        <v>63972637</v>
      </c>
      <c r="E84">
        <v>1</v>
      </c>
      <c r="F84">
        <v>1</v>
      </c>
      <c r="G84">
        <v>1</v>
      </c>
      <c r="H84">
        <v>3</v>
      </c>
      <c r="I84" t="s">
        <v>467</v>
      </c>
      <c r="J84" t="s">
        <v>468</v>
      </c>
      <c r="K84" t="s">
        <v>469</v>
      </c>
      <c r="L84">
        <v>1348</v>
      </c>
      <c r="N84">
        <v>1009</v>
      </c>
      <c r="O84" t="s">
        <v>244</v>
      </c>
      <c r="P84" t="s">
        <v>244</v>
      </c>
      <c r="Q84">
        <v>1000</v>
      </c>
      <c r="W84">
        <v>0</v>
      </c>
      <c r="X84">
        <v>1506624618</v>
      </c>
      <c r="Y84">
        <f t="shared" si="19"/>
        <v>4.0000000000000002E-4</v>
      </c>
      <c r="AA84">
        <v>80257.66</v>
      </c>
      <c r="AB84">
        <v>0</v>
      </c>
      <c r="AC84">
        <v>0</v>
      </c>
      <c r="AD84">
        <v>0</v>
      </c>
      <c r="AE84">
        <v>61265.39</v>
      </c>
      <c r="AF84">
        <v>0</v>
      </c>
      <c r="AG84">
        <v>0</v>
      </c>
      <c r="AH84">
        <v>0</v>
      </c>
      <c r="AI84">
        <v>1.31</v>
      </c>
      <c r="AJ84">
        <v>1</v>
      </c>
      <c r="AK84">
        <v>1</v>
      </c>
      <c r="AL84">
        <v>1</v>
      </c>
      <c r="AM84">
        <v>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3</v>
      </c>
      <c r="AT84">
        <v>4.0000000000000002E-4</v>
      </c>
      <c r="AU84" t="s">
        <v>3</v>
      </c>
      <c r="AV84">
        <v>0</v>
      </c>
      <c r="AW84">
        <v>2</v>
      </c>
      <c r="AX84">
        <v>65179695</v>
      </c>
      <c r="AY84">
        <v>1</v>
      </c>
      <c r="AZ84">
        <v>0</v>
      </c>
      <c r="BA84">
        <v>84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24.506156000000001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1</v>
      </c>
      <c r="BQ84">
        <v>24.506156000000001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1</v>
      </c>
      <c r="CV84">
        <v>0</v>
      </c>
      <c r="CW84">
        <v>0</v>
      </c>
      <c r="CX84">
        <f>ROUND(Y84*Source!I110,7)</f>
        <v>8.0000000000000002E-3</v>
      </c>
      <c r="CY84">
        <f t="shared" si="25"/>
        <v>80257.66</v>
      </c>
      <c r="CZ84">
        <f t="shared" si="26"/>
        <v>61265.39</v>
      </c>
      <c r="DA84">
        <f t="shared" si="27"/>
        <v>1.31</v>
      </c>
      <c r="DB84">
        <f t="shared" si="20"/>
        <v>24.51</v>
      </c>
      <c r="DC84">
        <f t="shared" si="21"/>
        <v>0</v>
      </c>
      <c r="DD84" t="s">
        <v>3</v>
      </c>
      <c r="DE84" t="s">
        <v>3</v>
      </c>
      <c r="DF84">
        <f>ROUND(ROUND(AE84*AI84,2)*CX84,2)</f>
        <v>642.05999999999995</v>
      </c>
      <c r="DG84">
        <f t="shared" si="28"/>
        <v>0</v>
      </c>
      <c r="DH84">
        <f t="shared" si="23"/>
        <v>0</v>
      </c>
      <c r="DI84">
        <f t="shared" si="24"/>
        <v>0</v>
      </c>
      <c r="DJ84">
        <f t="shared" si="29"/>
        <v>642.05999999999995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ROW(Source!A110)</f>
        <v>110</v>
      </c>
      <c r="B85">
        <v>65178645</v>
      </c>
      <c r="C85">
        <v>65179060</v>
      </c>
      <c r="D85">
        <v>63972665</v>
      </c>
      <c r="E85">
        <v>1</v>
      </c>
      <c r="F85">
        <v>1</v>
      </c>
      <c r="G85">
        <v>1</v>
      </c>
      <c r="H85">
        <v>3</v>
      </c>
      <c r="I85" t="s">
        <v>470</v>
      </c>
      <c r="J85" t="s">
        <v>471</v>
      </c>
      <c r="K85" t="s">
        <v>472</v>
      </c>
      <c r="L85">
        <v>1348</v>
      </c>
      <c r="N85">
        <v>1009</v>
      </c>
      <c r="O85" t="s">
        <v>244</v>
      </c>
      <c r="P85" t="s">
        <v>244</v>
      </c>
      <c r="Q85">
        <v>1000</v>
      </c>
      <c r="W85">
        <v>0</v>
      </c>
      <c r="X85">
        <v>277510809</v>
      </c>
      <c r="Y85">
        <f t="shared" si="19"/>
        <v>1E-4</v>
      </c>
      <c r="AA85">
        <v>97625.600000000006</v>
      </c>
      <c r="AB85">
        <v>0</v>
      </c>
      <c r="AC85">
        <v>0</v>
      </c>
      <c r="AD85">
        <v>0</v>
      </c>
      <c r="AE85">
        <v>80020.98</v>
      </c>
      <c r="AF85">
        <v>0</v>
      </c>
      <c r="AG85">
        <v>0</v>
      </c>
      <c r="AH85">
        <v>0</v>
      </c>
      <c r="AI85">
        <v>1.22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3</v>
      </c>
      <c r="AT85">
        <v>1E-4</v>
      </c>
      <c r="AU85" t="s">
        <v>3</v>
      </c>
      <c r="AV85">
        <v>0</v>
      </c>
      <c r="AW85">
        <v>2</v>
      </c>
      <c r="AX85">
        <v>65179696</v>
      </c>
      <c r="AY85">
        <v>1</v>
      </c>
      <c r="AZ85">
        <v>0</v>
      </c>
      <c r="BA85">
        <v>85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8.0020980000000002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1</v>
      </c>
      <c r="BQ85">
        <v>8.0020980000000002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1</v>
      </c>
      <c r="CV85">
        <v>0</v>
      </c>
      <c r="CW85">
        <v>0</v>
      </c>
      <c r="CX85">
        <f>ROUND(Y85*Source!I110,7)</f>
        <v>2E-3</v>
      </c>
      <c r="CY85">
        <f t="shared" si="25"/>
        <v>97625.600000000006</v>
      </c>
      <c r="CZ85">
        <f t="shared" si="26"/>
        <v>80020.98</v>
      </c>
      <c r="DA85">
        <f t="shared" si="27"/>
        <v>1.22</v>
      </c>
      <c r="DB85">
        <f t="shared" si="20"/>
        <v>8</v>
      </c>
      <c r="DC85">
        <f t="shared" si="21"/>
        <v>0</v>
      </c>
      <c r="DD85" t="s">
        <v>3</v>
      </c>
      <c r="DE85" t="s">
        <v>3</v>
      </c>
      <c r="DF85">
        <f>ROUND(ROUND(AE85*AI85,2)*CX85,2)</f>
        <v>195.25</v>
      </c>
      <c r="DG85">
        <f t="shared" si="28"/>
        <v>0</v>
      </c>
      <c r="DH85">
        <f t="shared" si="23"/>
        <v>0</v>
      </c>
      <c r="DI85">
        <f t="shared" si="24"/>
        <v>0</v>
      </c>
      <c r="DJ85">
        <f t="shared" si="29"/>
        <v>195.25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ROW(Source!A110)</f>
        <v>110</v>
      </c>
      <c r="B86">
        <v>65178645</v>
      </c>
      <c r="C86">
        <v>65179060</v>
      </c>
      <c r="D86">
        <v>63980018</v>
      </c>
      <c r="E86">
        <v>1</v>
      </c>
      <c r="F86">
        <v>1</v>
      </c>
      <c r="G86">
        <v>1</v>
      </c>
      <c r="H86">
        <v>3</v>
      </c>
      <c r="I86" t="s">
        <v>473</v>
      </c>
      <c r="J86" t="s">
        <v>474</v>
      </c>
      <c r="K86" t="s">
        <v>475</v>
      </c>
      <c r="L86">
        <v>1425</v>
      </c>
      <c r="N86">
        <v>1013</v>
      </c>
      <c r="O86" t="s">
        <v>162</v>
      </c>
      <c r="P86" t="s">
        <v>162</v>
      </c>
      <c r="Q86">
        <v>1</v>
      </c>
      <c r="W86">
        <v>0</v>
      </c>
      <c r="X86">
        <v>1499783694</v>
      </c>
      <c r="Y86">
        <f t="shared" si="19"/>
        <v>0.06</v>
      </c>
      <c r="AA86">
        <v>1186.49</v>
      </c>
      <c r="AB86">
        <v>0</v>
      </c>
      <c r="AC86">
        <v>0</v>
      </c>
      <c r="AD86">
        <v>0</v>
      </c>
      <c r="AE86">
        <v>1031.73</v>
      </c>
      <c r="AF86">
        <v>0</v>
      </c>
      <c r="AG86">
        <v>0</v>
      </c>
      <c r="AH86">
        <v>0</v>
      </c>
      <c r="AI86">
        <v>1.1499999999999999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3</v>
      </c>
      <c r="AT86">
        <v>0.06</v>
      </c>
      <c r="AU86" t="s">
        <v>3</v>
      </c>
      <c r="AV86">
        <v>0</v>
      </c>
      <c r="AW86">
        <v>2</v>
      </c>
      <c r="AX86">
        <v>65179697</v>
      </c>
      <c r="AY86">
        <v>1</v>
      </c>
      <c r="AZ86">
        <v>0</v>
      </c>
      <c r="BA86">
        <v>86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61.903799999999997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61.903799999999997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v>0</v>
      </c>
      <c r="CX86">
        <f>ROUND(Y86*Source!I110,7)</f>
        <v>1.2</v>
      </c>
      <c r="CY86">
        <f t="shared" si="25"/>
        <v>1186.49</v>
      </c>
      <c r="CZ86">
        <f t="shared" si="26"/>
        <v>1031.73</v>
      </c>
      <c r="DA86">
        <f t="shared" si="27"/>
        <v>1.1499999999999999</v>
      </c>
      <c r="DB86">
        <f t="shared" si="20"/>
        <v>61.9</v>
      </c>
      <c r="DC86">
        <f t="shared" si="21"/>
        <v>0</v>
      </c>
      <c r="DD86" t="s">
        <v>3</v>
      </c>
      <c r="DE86" t="s">
        <v>3</v>
      </c>
      <c r="DF86">
        <f>ROUND(ROUND(AE86*AI86,2)*CX86,2)</f>
        <v>1423.79</v>
      </c>
      <c r="DG86">
        <f t="shared" si="28"/>
        <v>0</v>
      </c>
      <c r="DH86">
        <f t="shared" si="23"/>
        <v>0</v>
      </c>
      <c r="DI86">
        <f t="shared" si="24"/>
        <v>0</v>
      </c>
      <c r="DJ86">
        <f t="shared" si="29"/>
        <v>1423.79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ROW(Source!A110)</f>
        <v>110</v>
      </c>
      <c r="B87">
        <v>65178645</v>
      </c>
      <c r="C87">
        <v>65179060</v>
      </c>
      <c r="D87">
        <v>63889058</v>
      </c>
      <c r="E87">
        <v>112</v>
      </c>
      <c r="F87">
        <v>1</v>
      </c>
      <c r="G87">
        <v>1</v>
      </c>
      <c r="H87">
        <v>3</v>
      </c>
      <c r="I87" t="s">
        <v>476</v>
      </c>
      <c r="J87" t="s">
        <v>3</v>
      </c>
      <c r="K87" t="s">
        <v>477</v>
      </c>
      <c r="L87">
        <v>1371</v>
      </c>
      <c r="N87">
        <v>1013</v>
      </c>
      <c r="O87" t="s">
        <v>77</v>
      </c>
      <c r="P87" t="s">
        <v>77</v>
      </c>
      <c r="Q87">
        <v>1</v>
      </c>
      <c r="W87">
        <v>0</v>
      </c>
      <c r="X87">
        <v>-950997571</v>
      </c>
      <c r="Y87">
        <f t="shared" si="19"/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1</v>
      </c>
      <c r="AO87">
        <v>0</v>
      </c>
      <c r="AP87">
        <v>1</v>
      </c>
      <c r="AQ87">
        <v>1</v>
      </c>
      <c r="AR87">
        <v>0</v>
      </c>
      <c r="AS87" t="s">
        <v>3</v>
      </c>
      <c r="AT87">
        <v>0</v>
      </c>
      <c r="AU87" t="s">
        <v>3</v>
      </c>
      <c r="AV87">
        <v>0</v>
      </c>
      <c r="AW87">
        <v>2</v>
      </c>
      <c r="AX87">
        <v>65179698</v>
      </c>
      <c r="AY87">
        <v>1</v>
      </c>
      <c r="AZ87">
        <v>0</v>
      </c>
      <c r="BA87">
        <v>87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ROUND(Y87*Source!I110,7)</f>
        <v>0</v>
      </c>
      <c r="CY87">
        <f t="shared" si="25"/>
        <v>0</v>
      </c>
      <c r="CZ87">
        <f t="shared" si="26"/>
        <v>0</v>
      </c>
      <c r="DA87">
        <f t="shared" si="27"/>
        <v>1</v>
      </c>
      <c r="DB87">
        <f t="shared" si="20"/>
        <v>0</v>
      </c>
      <c r="DC87">
        <f t="shared" si="21"/>
        <v>0</v>
      </c>
      <c r="DD87" t="s">
        <v>3</v>
      </c>
      <c r="DE87" t="s">
        <v>3</v>
      </c>
      <c r="DF87">
        <f t="shared" ref="DF87:DF93" si="30">ROUND(ROUND(AE87,2)*CX87,2)</f>
        <v>0</v>
      </c>
      <c r="DG87">
        <f t="shared" si="28"/>
        <v>0</v>
      </c>
      <c r="DH87">
        <f t="shared" si="23"/>
        <v>0</v>
      </c>
      <c r="DI87">
        <f t="shared" si="24"/>
        <v>0</v>
      </c>
      <c r="DJ87">
        <f t="shared" si="29"/>
        <v>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ROW(Source!A110)</f>
        <v>110</v>
      </c>
      <c r="B88">
        <v>65178645</v>
      </c>
      <c r="C88">
        <v>65179060</v>
      </c>
      <c r="D88">
        <v>63889103</v>
      </c>
      <c r="E88">
        <v>112</v>
      </c>
      <c r="F88">
        <v>1</v>
      </c>
      <c r="G88">
        <v>1</v>
      </c>
      <c r="H88">
        <v>3</v>
      </c>
      <c r="I88" t="s">
        <v>478</v>
      </c>
      <c r="J88" t="s">
        <v>3</v>
      </c>
      <c r="K88" t="s">
        <v>479</v>
      </c>
      <c r="L88">
        <v>1371</v>
      </c>
      <c r="N88">
        <v>1013</v>
      </c>
      <c r="O88" t="s">
        <v>77</v>
      </c>
      <c r="P88" t="s">
        <v>77</v>
      </c>
      <c r="Q88">
        <v>1</v>
      </c>
      <c r="W88">
        <v>0</v>
      </c>
      <c r="X88">
        <v>-320198552</v>
      </c>
      <c r="Y88">
        <f t="shared" si="19"/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1</v>
      </c>
      <c r="AO88">
        <v>0</v>
      </c>
      <c r="AP88">
        <v>1</v>
      </c>
      <c r="AQ88">
        <v>1</v>
      </c>
      <c r="AR88">
        <v>0</v>
      </c>
      <c r="AS88" t="s">
        <v>3</v>
      </c>
      <c r="AT88">
        <v>0</v>
      </c>
      <c r="AU88" t="s">
        <v>3</v>
      </c>
      <c r="AV88">
        <v>0</v>
      </c>
      <c r="AW88">
        <v>2</v>
      </c>
      <c r="AX88">
        <v>65179699</v>
      </c>
      <c r="AY88">
        <v>1</v>
      </c>
      <c r="AZ88">
        <v>0</v>
      </c>
      <c r="BA88">
        <v>88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ROUND(Y88*Source!I110,7)</f>
        <v>0</v>
      </c>
      <c r="CY88">
        <f t="shared" si="25"/>
        <v>0</v>
      </c>
      <c r="CZ88">
        <f t="shared" si="26"/>
        <v>0</v>
      </c>
      <c r="DA88">
        <f t="shared" si="27"/>
        <v>1</v>
      </c>
      <c r="DB88">
        <f t="shared" si="20"/>
        <v>0</v>
      </c>
      <c r="DC88">
        <f t="shared" si="21"/>
        <v>0</v>
      </c>
      <c r="DD88" t="s">
        <v>3</v>
      </c>
      <c r="DE88" t="s">
        <v>3</v>
      </c>
      <c r="DF88">
        <f t="shared" si="30"/>
        <v>0</v>
      </c>
      <c r="DG88">
        <f t="shared" si="28"/>
        <v>0</v>
      </c>
      <c r="DH88">
        <f t="shared" si="23"/>
        <v>0</v>
      </c>
      <c r="DI88">
        <f t="shared" si="24"/>
        <v>0</v>
      </c>
      <c r="DJ88">
        <f t="shared" si="29"/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ROW(Source!A110)</f>
        <v>110</v>
      </c>
      <c r="B89">
        <v>65178645</v>
      </c>
      <c r="C89">
        <v>65179060</v>
      </c>
      <c r="D89">
        <v>63889106</v>
      </c>
      <c r="E89">
        <v>112</v>
      </c>
      <c r="F89">
        <v>1</v>
      </c>
      <c r="G89">
        <v>1</v>
      </c>
      <c r="H89">
        <v>3</v>
      </c>
      <c r="I89" t="s">
        <v>480</v>
      </c>
      <c r="J89" t="s">
        <v>3</v>
      </c>
      <c r="K89" t="s">
        <v>481</v>
      </c>
      <c r="L89">
        <v>1371</v>
      </c>
      <c r="N89">
        <v>1013</v>
      </c>
      <c r="O89" t="s">
        <v>77</v>
      </c>
      <c r="P89" t="s">
        <v>77</v>
      </c>
      <c r="Q89">
        <v>1</v>
      </c>
      <c r="W89">
        <v>0</v>
      </c>
      <c r="X89">
        <v>326010188</v>
      </c>
      <c r="Y89">
        <f t="shared" si="19"/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1</v>
      </c>
      <c r="AO89">
        <v>0</v>
      </c>
      <c r="AP89">
        <v>1</v>
      </c>
      <c r="AQ89">
        <v>1</v>
      </c>
      <c r="AR89">
        <v>0</v>
      </c>
      <c r="AS89" t="s">
        <v>3</v>
      </c>
      <c r="AT89">
        <v>0</v>
      </c>
      <c r="AU89" t="s">
        <v>3</v>
      </c>
      <c r="AV89">
        <v>0</v>
      </c>
      <c r="AW89">
        <v>2</v>
      </c>
      <c r="AX89">
        <v>65179700</v>
      </c>
      <c r="AY89">
        <v>1</v>
      </c>
      <c r="AZ89">
        <v>0</v>
      </c>
      <c r="BA89">
        <v>89</v>
      </c>
      <c r="BB89">
        <v>1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ROUND(Y89*Source!I110,7)</f>
        <v>0</v>
      </c>
      <c r="CY89">
        <f t="shared" si="25"/>
        <v>0</v>
      </c>
      <c r="CZ89">
        <f t="shared" si="26"/>
        <v>0</v>
      </c>
      <c r="DA89">
        <f t="shared" si="27"/>
        <v>1</v>
      </c>
      <c r="DB89">
        <f t="shared" si="20"/>
        <v>0</v>
      </c>
      <c r="DC89">
        <f t="shared" si="21"/>
        <v>0</v>
      </c>
      <c r="DD89" t="s">
        <v>3</v>
      </c>
      <c r="DE89" t="s">
        <v>3</v>
      </c>
      <c r="DF89">
        <f t="shared" si="30"/>
        <v>0</v>
      </c>
      <c r="DG89">
        <f t="shared" si="28"/>
        <v>0</v>
      </c>
      <c r="DH89">
        <f t="shared" si="23"/>
        <v>0</v>
      </c>
      <c r="DI89">
        <f t="shared" si="24"/>
        <v>0</v>
      </c>
      <c r="DJ89">
        <f t="shared" si="29"/>
        <v>0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ROW(Source!A111)</f>
        <v>111</v>
      </c>
      <c r="B90">
        <v>65178645</v>
      </c>
      <c r="C90">
        <v>65179701</v>
      </c>
      <c r="D90">
        <v>63884131</v>
      </c>
      <c r="E90">
        <v>112</v>
      </c>
      <c r="F90">
        <v>1</v>
      </c>
      <c r="G90">
        <v>1</v>
      </c>
      <c r="H90">
        <v>1</v>
      </c>
      <c r="I90" t="s">
        <v>447</v>
      </c>
      <c r="J90" t="s">
        <v>3</v>
      </c>
      <c r="K90" t="s">
        <v>448</v>
      </c>
      <c r="L90">
        <v>1191</v>
      </c>
      <c r="N90">
        <v>1013</v>
      </c>
      <c r="O90" t="s">
        <v>372</v>
      </c>
      <c r="P90" t="s">
        <v>372</v>
      </c>
      <c r="Q90">
        <v>1</v>
      </c>
      <c r="W90">
        <v>0</v>
      </c>
      <c r="X90">
        <v>32079103</v>
      </c>
      <c r="Y90">
        <f t="shared" si="19"/>
        <v>5.98</v>
      </c>
      <c r="AA90">
        <v>0</v>
      </c>
      <c r="AB90">
        <v>0</v>
      </c>
      <c r="AC90">
        <v>0</v>
      </c>
      <c r="AD90">
        <v>452.11</v>
      </c>
      <c r="AE90">
        <v>0</v>
      </c>
      <c r="AF90">
        <v>0</v>
      </c>
      <c r="AG90">
        <v>0</v>
      </c>
      <c r="AH90">
        <v>452.11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3</v>
      </c>
      <c r="AT90">
        <v>5.98</v>
      </c>
      <c r="AU90" t="s">
        <v>3</v>
      </c>
      <c r="AV90">
        <v>1</v>
      </c>
      <c r="AW90">
        <v>2</v>
      </c>
      <c r="AX90">
        <v>65179738</v>
      </c>
      <c r="AY90">
        <v>1</v>
      </c>
      <c r="AZ90">
        <v>0</v>
      </c>
      <c r="BA90">
        <v>90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2703.6178000000004</v>
      </c>
      <c r="BN90">
        <v>5.98</v>
      </c>
      <c r="BO90">
        <v>0</v>
      </c>
      <c r="BP90">
        <v>1</v>
      </c>
      <c r="BQ90">
        <v>0</v>
      </c>
      <c r="BR90">
        <v>0</v>
      </c>
      <c r="BS90">
        <v>0</v>
      </c>
      <c r="BT90">
        <v>2703.6178000000004</v>
      </c>
      <c r="BU90">
        <v>5.98</v>
      </c>
      <c r="BV90">
        <v>0</v>
      </c>
      <c r="BW90">
        <v>1</v>
      </c>
      <c r="CU90">
        <f>ROUND(AT90*Source!I111*AH90*AL90,2)</f>
        <v>32443.41</v>
      </c>
      <c r="CV90">
        <f>ROUND(Y90*Source!I111,7)</f>
        <v>71.760000000000005</v>
      </c>
      <c r="CW90">
        <v>0</v>
      </c>
      <c r="CX90">
        <f>ROUND(Y90*Source!I111,7)</f>
        <v>71.760000000000005</v>
      </c>
      <c r="CY90">
        <f>AD90</f>
        <v>452.11</v>
      </c>
      <c r="CZ90">
        <f>AH90</f>
        <v>452.11</v>
      </c>
      <c r="DA90">
        <f>AL90</f>
        <v>1</v>
      </c>
      <c r="DB90">
        <f t="shared" si="20"/>
        <v>2703.62</v>
      </c>
      <c r="DC90">
        <f t="shared" si="21"/>
        <v>0</v>
      </c>
      <c r="DD90" t="s">
        <v>3</v>
      </c>
      <c r="DE90" t="s">
        <v>3</v>
      </c>
      <c r="DF90">
        <f t="shared" si="30"/>
        <v>0</v>
      </c>
      <c r="DG90">
        <f t="shared" si="28"/>
        <v>0</v>
      </c>
      <c r="DH90">
        <f t="shared" si="23"/>
        <v>0</v>
      </c>
      <c r="DI90">
        <f t="shared" si="24"/>
        <v>32443.41</v>
      </c>
      <c r="DJ90">
        <f>DI90</f>
        <v>32443.41</v>
      </c>
      <c r="DK90">
        <v>1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ROW(Source!A111)</f>
        <v>111</v>
      </c>
      <c r="B91">
        <v>65178645</v>
      </c>
      <c r="C91">
        <v>65179701</v>
      </c>
      <c r="D91">
        <v>63884368</v>
      </c>
      <c r="E91">
        <v>112</v>
      </c>
      <c r="F91">
        <v>1</v>
      </c>
      <c r="G91">
        <v>1</v>
      </c>
      <c r="H91">
        <v>1</v>
      </c>
      <c r="I91" t="s">
        <v>373</v>
      </c>
      <c r="J91" t="s">
        <v>3</v>
      </c>
      <c r="K91" t="s">
        <v>374</v>
      </c>
      <c r="L91">
        <v>1191</v>
      </c>
      <c r="N91">
        <v>1013</v>
      </c>
      <c r="O91" t="s">
        <v>372</v>
      </c>
      <c r="P91" t="s">
        <v>372</v>
      </c>
      <c r="Q91">
        <v>1</v>
      </c>
      <c r="W91">
        <v>0</v>
      </c>
      <c r="X91">
        <v>-1417349443</v>
      </c>
      <c r="Y91">
        <f t="shared" si="19"/>
        <v>2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1</v>
      </c>
      <c r="AQ91">
        <v>1</v>
      </c>
      <c r="AR91">
        <v>0</v>
      </c>
      <c r="AS91" t="s">
        <v>3</v>
      </c>
      <c r="AT91">
        <v>2</v>
      </c>
      <c r="AU91" t="s">
        <v>3</v>
      </c>
      <c r="AV91">
        <v>2</v>
      </c>
      <c r="AW91">
        <v>2</v>
      </c>
      <c r="AX91">
        <v>65179739</v>
      </c>
      <c r="AY91">
        <v>1</v>
      </c>
      <c r="AZ91">
        <v>0</v>
      </c>
      <c r="BA91">
        <v>91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ROUND(Y91*Source!I111,7)</f>
        <v>24</v>
      </c>
      <c r="CY91">
        <f>AD91</f>
        <v>0</v>
      </c>
      <c r="CZ91">
        <f>AH91</f>
        <v>0</v>
      </c>
      <c r="DA91">
        <f>AL91</f>
        <v>1</v>
      </c>
      <c r="DB91">
        <f t="shared" si="20"/>
        <v>0</v>
      </c>
      <c r="DC91">
        <f t="shared" si="21"/>
        <v>0</v>
      </c>
      <c r="DD91" t="s">
        <v>3</v>
      </c>
      <c r="DE91" t="s">
        <v>3</v>
      </c>
      <c r="DF91">
        <f t="shared" si="30"/>
        <v>0</v>
      </c>
      <c r="DG91">
        <f t="shared" si="28"/>
        <v>0</v>
      </c>
      <c r="DH91">
        <f t="shared" si="23"/>
        <v>0</v>
      </c>
      <c r="DI91">
        <f t="shared" si="24"/>
        <v>0</v>
      </c>
      <c r="DJ91">
        <f>DI91</f>
        <v>0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ROW(Source!A111)</f>
        <v>111</v>
      </c>
      <c r="B92">
        <v>65178645</v>
      </c>
      <c r="C92">
        <v>65179701</v>
      </c>
      <c r="D92">
        <v>64001401</v>
      </c>
      <c r="E92">
        <v>1</v>
      </c>
      <c r="F92">
        <v>1</v>
      </c>
      <c r="G92">
        <v>1</v>
      </c>
      <c r="H92">
        <v>2</v>
      </c>
      <c r="I92" t="s">
        <v>375</v>
      </c>
      <c r="J92" t="s">
        <v>449</v>
      </c>
      <c r="K92" t="s">
        <v>377</v>
      </c>
      <c r="L92">
        <v>1368</v>
      </c>
      <c r="N92">
        <v>1011</v>
      </c>
      <c r="O92" t="s">
        <v>378</v>
      </c>
      <c r="P92" t="s">
        <v>378</v>
      </c>
      <c r="Q92">
        <v>1</v>
      </c>
      <c r="W92">
        <v>0</v>
      </c>
      <c r="X92">
        <v>-1030140311</v>
      </c>
      <c r="Y92">
        <f t="shared" si="19"/>
        <v>1.6</v>
      </c>
      <c r="AA92">
        <v>0</v>
      </c>
      <c r="AB92">
        <v>2548.3000000000002</v>
      </c>
      <c r="AC92">
        <v>563.76</v>
      </c>
      <c r="AD92">
        <v>0</v>
      </c>
      <c r="AE92">
        <v>0</v>
      </c>
      <c r="AF92">
        <v>2088.77</v>
      </c>
      <c r="AG92">
        <v>563.76</v>
      </c>
      <c r="AH92">
        <v>0</v>
      </c>
      <c r="AI92">
        <v>1</v>
      </c>
      <c r="AJ92">
        <v>1.22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3</v>
      </c>
      <c r="AT92">
        <v>1.6</v>
      </c>
      <c r="AU92" t="s">
        <v>3</v>
      </c>
      <c r="AV92">
        <v>1</v>
      </c>
      <c r="AW92">
        <v>2</v>
      </c>
      <c r="AX92">
        <v>65179740</v>
      </c>
      <c r="AY92">
        <v>1</v>
      </c>
      <c r="AZ92">
        <v>0</v>
      </c>
      <c r="BA92">
        <v>92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3342.0320000000002</v>
      </c>
      <c r="BL92">
        <v>902.01600000000008</v>
      </c>
      <c r="BM92">
        <v>0</v>
      </c>
      <c r="BN92">
        <v>0</v>
      </c>
      <c r="BO92">
        <v>1.6</v>
      </c>
      <c r="BP92">
        <v>1</v>
      </c>
      <c r="BQ92">
        <v>0</v>
      </c>
      <c r="BR92">
        <v>3342.0320000000002</v>
      </c>
      <c r="BS92">
        <v>902.01600000000008</v>
      </c>
      <c r="BT92">
        <v>0</v>
      </c>
      <c r="BU92">
        <v>0</v>
      </c>
      <c r="BV92">
        <v>1.6</v>
      </c>
      <c r="BW92">
        <v>1</v>
      </c>
      <c r="CV92">
        <v>0</v>
      </c>
      <c r="CW92">
        <f>ROUND(Y92*Source!I111*DO92,7)</f>
        <v>19.2</v>
      </c>
      <c r="CX92">
        <f>ROUND(Y92*Source!I111,7)</f>
        <v>19.2</v>
      </c>
      <c r="CY92">
        <f>AB92</f>
        <v>2548.3000000000002</v>
      </c>
      <c r="CZ92">
        <f>AF92</f>
        <v>2088.77</v>
      </c>
      <c r="DA92">
        <f>AJ92</f>
        <v>1.22</v>
      </c>
      <c r="DB92">
        <f t="shared" si="20"/>
        <v>3342.03</v>
      </c>
      <c r="DC92">
        <f t="shared" si="21"/>
        <v>902.02</v>
      </c>
      <c r="DD92" t="s">
        <v>3</v>
      </c>
      <c r="DE92" t="s">
        <v>3</v>
      </c>
      <c r="DF92">
        <f t="shared" si="30"/>
        <v>0</v>
      </c>
      <c r="DG92">
        <f>ROUND(ROUND(AF92*AJ92,2)*CX92,2)</f>
        <v>48927.360000000001</v>
      </c>
      <c r="DH92">
        <f t="shared" si="23"/>
        <v>10824.19</v>
      </c>
      <c r="DI92">
        <f t="shared" si="24"/>
        <v>0</v>
      </c>
      <c r="DJ92">
        <f>DG92+DH92</f>
        <v>59751.55</v>
      </c>
      <c r="DK92">
        <v>0</v>
      </c>
      <c r="DL92" t="s">
        <v>379</v>
      </c>
      <c r="DM92">
        <v>5</v>
      </c>
      <c r="DN92" t="s">
        <v>372</v>
      </c>
      <c r="DO92">
        <v>1</v>
      </c>
    </row>
    <row r="93" spans="1:119" x14ac:dyDescent="0.2">
      <c r="A93">
        <f>ROW(Source!A111)</f>
        <v>111</v>
      </c>
      <c r="B93">
        <v>65178645</v>
      </c>
      <c r="C93">
        <v>65179701</v>
      </c>
      <c r="D93">
        <v>64002400</v>
      </c>
      <c r="E93">
        <v>1</v>
      </c>
      <c r="F93">
        <v>1</v>
      </c>
      <c r="G93">
        <v>1</v>
      </c>
      <c r="H93">
        <v>2</v>
      </c>
      <c r="I93" t="s">
        <v>380</v>
      </c>
      <c r="J93" t="s">
        <v>381</v>
      </c>
      <c r="K93" t="s">
        <v>382</v>
      </c>
      <c r="L93">
        <v>1368</v>
      </c>
      <c r="N93">
        <v>1011</v>
      </c>
      <c r="O93" t="s">
        <v>378</v>
      </c>
      <c r="P93" t="s">
        <v>378</v>
      </c>
      <c r="Q93">
        <v>1</v>
      </c>
      <c r="W93">
        <v>0</v>
      </c>
      <c r="X93">
        <v>1032761012</v>
      </c>
      <c r="Y93">
        <f t="shared" si="19"/>
        <v>0.4</v>
      </c>
      <c r="AA93">
        <v>0</v>
      </c>
      <c r="AB93">
        <v>578.28</v>
      </c>
      <c r="AC93">
        <v>490.55</v>
      </c>
      <c r="AD93">
        <v>0</v>
      </c>
      <c r="AE93">
        <v>0</v>
      </c>
      <c r="AF93">
        <v>477.92</v>
      </c>
      <c r="AG93">
        <v>490.55</v>
      </c>
      <c r="AH93">
        <v>0</v>
      </c>
      <c r="AI93">
        <v>1</v>
      </c>
      <c r="AJ93">
        <v>1.21</v>
      </c>
      <c r="AK93">
        <v>1</v>
      </c>
      <c r="AL93">
        <v>1</v>
      </c>
      <c r="AM93">
        <v>2</v>
      </c>
      <c r="AN93">
        <v>0</v>
      </c>
      <c r="AO93">
        <v>0</v>
      </c>
      <c r="AP93">
        <v>1</v>
      </c>
      <c r="AQ93">
        <v>1</v>
      </c>
      <c r="AR93">
        <v>0</v>
      </c>
      <c r="AS93" t="s">
        <v>3</v>
      </c>
      <c r="AT93">
        <v>0.4</v>
      </c>
      <c r="AU93" t="s">
        <v>3</v>
      </c>
      <c r="AV93">
        <v>1</v>
      </c>
      <c r="AW93">
        <v>2</v>
      </c>
      <c r="AX93">
        <v>65179741</v>
      </c>
      <c r="AY93">
        <v>1</v>
      </c>
      <c r="AZ93">
        <v>0</v>
      </c>
      <c r="BA93">
        <v>93</v>
      </c>
      <c r="BB93">
        <v>1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191.16800000000001</v>
      </c>
      <c r="BL93">
        <v>196.22000000000003</v>
      </c>
      <c r="BM93">
        <v>0</v>
      </c>
      <c r="BN93">
        <v>0</v>
      </c>
      <c r="BO93">
        <v>0.4</v>
      </c>
      <c r="BP93">
        <v>1</v>
      </c>
      <c r="BQ93">
        <v>0</v>
      </c>
      <c r="BR93">
        <v>191.16800000000001</v>
      </c>
      <c r="BS93">
        <v>196.22000000000003</v>
      </c>
      <c r="BT93">
        <v>0</v>
      </c>
      <c r="BU93">
        <v>0</v>
      </c>
      <c r="BV93">
        <v>0.4</v>
      </c>
      <c r="BW93">
        <v>1</v>
      </c>
      <c r="CV93">
        <v>0</v>
      </c>
      <c r="CW93">
        <f>ROUND(Y93*Source!I111*DO93,7)</f>
        <v>4.8</v>
      </c>
      <c r="CX93">
        <f>ROUND(Y93*Source!I111,7)</f>
        <v>4.8</v>
      </c>
      <c r="CY93">
        <f>AB93</f>
        <v>578.28</v>
      </c>
      <c r="CZ93">
        <f>AF93</f>
        <v>477.92</v>
      </c>
      <c r="DA93">
        <f>AJ93</f>
        <v>1.21</v>
      </c>
      <c r="DB93">
        <f t="shared" si="20"/>
        <v>191.17</v>
      </c>
      <c r="DC93">
        <f t="shared" si="21"/>
        <v>196.22</v>
      </c>
      <c r="DD93" t="s">
        <v>3</v>
      </c>
      <c r="DE93" t="s">
        <v>3</v>
      </c>
      <c r="DF93">
        <f t="shared" si="30"/>
        <v>0</v>
      </c>
      <c r="DG93">
        <f>ROUND(ROUND(AF93*AJ93,2)*CX93,2)</f>
        <v>2775.74</v>
      </c>
      <c r="DH93">
        <f t="shared" si="23"/>
        <v>2354.64</v>
      </c>
      <c r="DI93">
        <f t="shared" si="24"/>
        <v>0</v>
      </c>
      <c r="DJ93">
        <f>DG93+DH93</f>
        <v>5130.3799999999992</v>
      </c>
      <c r="DK93">
        <v>0</v>
      </c>
      <c r="DL93" t="s">
        <v>383</v>
      </c>
      <c r="DM93">
        <v>4</v>
      </c>
      <c r="DN93" t="s">
        <v>372</v>
      </c>
      <c r="DO93">
        <v>1</v>
      </c>
    </row>
    <row r="94" spans="1:119" x14ac:dyDescent="0.2">
      <c r="A94">
        <f>ROW(Source!A111)</f>
        <v>111</v>
      </c>
      <c r="B94">
        <v>65178645</v>
      </c>
      <c r="C94">
        <v>65179701</v>
      </c>
      <c r="D94">
        <v>63953092</v>
      </c>
      <c r="E94">
        <v>1</v>
      </c>
      <c r="F94">
        <v>1</v>
      </c>
      <c r="G94">
        <v>1</v>
      </c>
      <c r="H94">
        <v>3</v>
      </c>
      <c r="I94" t="s">
        <v>450</v>
      </c>
      <c r="J94" t="s">
        <v>451</v>
      </c>
      <c r="K94" t="s">
        <v>452</v>
      </c>
      <c r="L94">
        <v>1346</v>
      </c>
      <c r="N94">
        <v>1009</v>
      </c>
      <c r="O94" t="s">
        <v>253</v>
      </c>
      <c r="P94" t="s">
        <v>253</v>
      </c>
      <c r="Q94">
        <v>1</v>
      </c>
      <c r="W94">
        <v>0</v>
      </c>
      <c r="X94">
        <v>1205799243</v>
      </c>
      <c r="Y94">
        <f t="shared" ref="Y94:Y125" si="31">AT94</f>
        <v>0.1</v>
      </c>
      <c r="AA94">
        <v>421.77</v>
      </c>
      <c r="AB94">
        <v>0</v>
      </c>
      <c r="AC94">
        <v>0</v>
      </c>
      <c r="AD94">
        <v>0</v>
      </c>
      <c r="AE94">
        <v>238.29</v>
      </c>
      <c r="AF94">
        <v>0</v>
      </c>
      <c r="AG94">
        <v>0</v>
      </c>
      <c r="AH94">
        <v>0</v>
      </c>
      <c r="AI94">
        <v>1.77</v>
      </c>
      <c r="AJ94">
        <v>1</v>
      </c>
      <c r="AK94">
        <v>1</v>
      </c>
      <c r="AL94">
        <v>1</v>
      </c>
      <c r="AM94">
        <v>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3</v>
      </c>
      <c r="AT94">
        <v>0.1</v>
      </c>
      <c r="AU94" t="s">
        <v>3</v>
      </c>
      <c r="AV94">
        <v>0</v>
      </c>
      <c r="AW94">
        <v>2</v>
      </c>
      <c r="AX94">
        <v>65179742</v>
      </c>
      <c r="AY94">
        <v>1</v>
      </c>
      <c r="AZ94">
        <v>0</v>
      </c>
      <c r="BA94">
        <v>94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23.829000000000001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1</v>
      </c>
      <c r="BQ94">
        <v>23.829000000000001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1</v>
      </c>
      <c r="CV94">
        <v>0</v>
      </c>
      <c r="CW94">
        <v>0</v>
      </c>
      <c r="CX94">
        <f>ROUND(Y94*Source!I111,7)</f>
        <v>1.2</v>
      </c>
      <c r="CY94">
        <f t="shared" ref="CY94:CY109" si="32">AA94</f>
        <v>421.77</v>
      </c>
      <c r="CZ94">
        <f t="shared" ref="CZ94:CZ109" si="33">AE94</f>
        <v>238.29</v>
      </c>
      <c r="DA94">
        <f t="shared" ref="DA94:DA109" si="34">AI94</f>
        <v>1.77</v>
      </c>
      <c r="DB94">
        <f t="shared" ref="DB94:DB125" si="35">ROUND(ROUND(AT94*CZ94,2),6)</f>
        <v>23.83</v>
      </c>
      <c r="DC94">
        <f t="shared" ref="DC94:DC125" si="36">ROUND(ROUND(AT94*AG94,2),6)</f>
        <v>0</v>
      </c>
      <c r="DD94" t="s">
        <v>3</v>
      </c>
      <c r="DE94" t="s">
        <v>3</v>
      </c>
      <c r="DF94">
        <f>ROUND(ROUND(AE94*AI94,2)*CX94,2)</f>
        <v>506.12</v>
      </c>
      <c r="DG94">
        <f t="shared" ref="DG94:DG120" si="37">ROUND(ROUND(AF94,2)*CX94,2)</f>
        <v>0</v>
      </c>
      <c r="DH94">
        <f t="shared" si="23"/>
        <v>0</v>
      </c>
      <c r="DI94">
        <f t="shared" si="24"/>
        <v>0</v>
      </c>
      <c r="DJ94">
        <f t="shared" ref="DJ94:DJ109" si="38">DF94</f>
        <v>506.12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ROW(Source!A111)</f>
        <v>111</v>
      </c>
      <c r="B95">
        <v>65178645</v>
      </c>
      <c r="C95">
        <v>65179701</v>
      </c>
      <c r="D95">
        <v>63953099</v>
      </c>
      <c r="E95">
        <v>1</v>
      </c>
      <c r="F95">
        <v>1</v>
      </c>
      <c r="G95">
        <v>1</v>
      </c>
      <c r="H95">
        <v>3</v>
      </c>
      <c r="I95" t="s">
        <v>453</v>
      </c>
      <c r="J95" t="s">
        <v>454</v>
      </c>
      <c r="K95" t="s">
        <v>455</v>
      </c>
      <c r="L95">
        <v>1346</v>
      </c>
      <c r="N95">
        <v>1009</v>
      </c>
      <c r="O95" t="s">
        <v>253</v>
      </c>
      <c r="P95" t="s">
        <v>253</v>
      </c>
      <c r="Q95">
        <v>1</v>
      </c>
      <c r="W95">
        <v>0</v>
      </c>
      <c r="X95">
        <v>1757275136</v>
      </c>
      <c r="Y95">
        <f t="shared" si="31"/>
        <v>0.03</v>
      </c>
      <c r="AA95">
        <v>103.6</v>
      </c>
      <c r="AB95">
        <v>0</v>
      </c>
      <c r="AC95">
        <v>0</v>
      </c>
      <c r="AD95">
        <v>0</v>
      </c>
      <c r="AE95">
        <v>58.53</v>
      </c>
      <c r="AF95">
        <v>0</v>
      </c>
      <c r="AG95">
        <v>0</v>
      </c>
      <c r="AH95">
        <v>0</v>
      </c>
      <c r="AI95">
        <v>1.77</v>
      </c>
      <c r="AJ95">
        <v>1</v>
      </c>
      <c r="AK95">
        <v>1</v>
      </c>
      <c r="AL95">
        <v>1</v>
      </c>
      <c r="AM95">
        <v>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3</v>
      </c>
      <c r="AT95">
        <v>0.03</v>
      </c>
      <c r="AU95" t="s">
        <v>3</v>
      </c>
      <c r="AV95">
        <v>0</v>
      </c>
      <c r="AW95">
        <v>2</v>
      </c>
      <c r="AX95">
        <v>65179743</v>
      </c>
      <c r="AY95">
        <v>1</v>
      </c>
      <c r="AZ95">
        <v>0</v>
      </c>
      <c r="BA95">
        <v>95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1.7559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1</v>
      </c>
      <c r="BQ95">
        <v>1.7559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1</v>
      </c>
      <c r="CV95">
        <v>0</v>
      </c>
      <c r="CW95">
        <v>0</v>
      </c>
      <c r="CX95">
        <f>ROUND(Y95*Source!I111,7)</f>
        <v>0.36</v>
      </c>
      <c r="CY95">
        <f t="shared" si="32"/>
        <v>103.6</v>
      </c>
      <c r="CZ95">
        <f t="shared" si="33"/>
        <v>58.53</v>
      </c>
      <c r="DA95">
        <f t="shared" si="34"/>
        <v>1.77</v>
      </c>
      <c r="DB95">
        <f t="shared" si="35"/>
        <v>1.76</v>
      </c>
      <c r="DC95">
        <f t="shared" si="36"/>
        <v>0</v>
      </c>
      <c r="DD95" t="s">
        <v>3</v>
      </c>
      <c r="DE95" t="s">
        <v>3</v>
      </c>
      <c r="DF95">
        <f>ROUND(ROUND(AE95*AI95,2)*CX95,2)</f>
        <v>37.299999999999997</v>
      </c>
      <c r="DG95">
        <f t="shared" si="37"/>
        <v>0</v>
      </c>
      <c r="DH95">
        <f t="shared" si="23"/>
        <v>0</v>
      </c>
      <c r="DI95">
        <f t="shared" si="24"/>
        <v>0</v>
      </c>
      <c r="DJ95">
        <f t="shared" si="38"/>
        <v>37.299999999999997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ROW(Source!A111)</f>
        <v>111</v>
      </c>
      <c r="B96">
        <v>65178645</v>
      </c>
      <c r="C96">
        <v>65179701</v>
      </c>
      <c r="D96">
        <v>63956166</v>
      </c>
      <c r="E96">
        <v>1</v>
      </c>
      <c r="F96">
        <v>1</v>
      </c>
      <c r="G96">
        <v>1</v>
      </c>
      <c r="H96">
        <v>3</v>
      </c>
      <c r="I96" t="s">
        <v>411</v>
      </c>
      <c r="J96" t="s">
        <v>412</v>
      </c>
      <c r="K96" t="s">
        <v>413</v>
      </c>
      <c r="L96">
        <v>1346</v>
      </c>
      <c r="N96">
        <v>1009</v>
      </c>
      <c r="O96" t="s">
        <v>253</v>
      </c>
      <c r="P96" t="s">
        <v>253</v>
      </c>
      <c r="Q96">
        <v>1</v>
      </c>
      <c r="W96">
        <v>0</v>
      </c>
      <c r="X96">
        <v>1271338475</v>
      </c>
      <c r="Y96">
        <f t="shared" si="31"/>
        <v>0</v>
      </c>
      <c r="AA96">
        <v>201.17</v>
      </c>
      <c r="AB96">
        <v>0</v>
      </c>
      <c r="AC96">
        <v>0</v>
      </c>
      <c r="AD96">
        <v>0</v>
      </c>
      <c r="AE96">
        <v>174.93</v>
      </c>
      <c r="AF96">
        <v>0</v>
      </c>
      <c r="AG96">
        <v>0</v>
      </c>
      <c r="AH96">
        <v>0</v>
      </c>
      <c r="AI96">
        <v>1.1499999999999999</v>
      </c>
      <c r="AJ96">
        <v>1</v>
      </c>
      <c r="AK96">
        <v>1</v>
      </c>
      <c r="AL96">
        <v>1</v>
      </c>
      <c r="AM96">
        <v>2</v>
      </c>
      <c r="AN96">
        <v>1</v>
      </c>
      <c r="AO96">
        <v>0</v>
      </c>
      <c r="AP96">
        <v>1</v>
      </c>
      <c r="AQ96">
        <v>1</v>
      </c>
      <c r="AR96">
        <v>0</v>
      </c>
      <c r="AS96" t="s">
        <v>3</v>
      </c>
      <c r="AT96">
        <v>0</v>
      </c>
      <c r="AU96" t="s">
        <v>3</v>
      </c>
      <c r="AV96">
        <v>0</v>
      </c>
      <c r="AW96">
        <v>2</v>
      </c>
      <c r="AX96">
        <v>65179744</v>
      </c>
      <c r="AY96">
        <v>1</v>
      </c>
      <c r="AZ96">
        <v>0</v>
      </c>
      <c r="BA96">
        <v>96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ROUND(Y96*Source!I111,7)</f>
        <v>0</v>
      </c>
      <c r="CY96">
        <f t="shared" si="32"/>
        <v>201.17</v>
      </c>
      <c r="CZ96">
        <f t="shared" si="33"/>
        <v>174.93</v>
      </c>
      <c r="DA96">
        <f t="shared" si="34"/>
        <v>1.1499999999999999</v>
      </c>
      <c r="DB96">
        <f t="shared" si="35"/>
        <v>0</v>
      </c>
      <c r="DC96">
        <f t="shared" si="36"/>
        <v>0</v>
      </c>
      <c r="DD96" t="s">
        <v>3</v>
      </c>
      <c r="DE96" t="s">
        <v>3</v>
      </c>
      <c r="DF96">
        <f>ROUND(ROUND(AE96*AI96,2)*CX96,2)</f>
        <v>0</v>
      </c>
      <c r="DG96">
        <f t="shared" si="37"/>
        <v>0</v>
      </c>
      <c r="DH96">
        <f t="shared" si="23"/>
        <v>0</v>
      </c>
      <c r="DI96">
        <f t="shared" si="24"/>
        <v>0</v>
      </c>
      <c r="DJ96">
        <f t="shared" si="38"/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ROW(Source!A111)</f>
        <v>111</v>
      </c>
      <c r="B97">
        <v>65178645</v>
      </c>
      <c r="C97">
        <v>65179701</v>
      </c>
      <c r="D97">
        <v>63957293</v>
      </c>
      <c r="E97">
        <v>1</v>
      </c>
      <c r="F97">
        <v>1</v>
      </c>
      <c r="G97">
        <v>1</v>
      </c>
      <c r="H97">
        <v>3</v>
      </c>
      <c r="I97" t="s">
        <v>456</v>
      </c>
      <c r="J97" t="s">
        <v>457</v>
      </c>
      <c r="K97" t="s">
        <v>458</v>
      </c>
      <c r="L97">
        <v>1346</v>
      </c>
      <c r="N97">
        <v>1009</v>
      </c>
      <c r="O97" t="s">
        <v>253</v>
      </c>
      <c r="P97" t="s">
        <v>253</v>
      </c>
      <c r="Q97">
        <v>1</v>
      </c>
      <c r="W97">
        <v>0</v>
      </c>
      <c r="X97">
        <v>1826362753</v>
      </c>
      <c r="Y97">
        <f t="shared" si="31"/>
        <v>0.02</v>
      </c>
      <c r="AA97">
        <v>77.989999999999995</v>
      </c>
      <c r="AB97">
        <v>0</v>
      </c>
      <c r="AC97">
        <v>0</v>
      </c>
      <c r="AD97">
        <v>0</v>
      </c>
      <c r="AE97">
        <v>56.11</v>
      </c>
      <c r="AF97">
        <v>0</v>
      </c>
      <c r="AG97">
        <v>0</v>
      </c>
      <c r="AH97">
        <v>0</v>
      </c>
      <c r="AI97">
        <v>1.39</v>
      </c>
      <c r="AJ97">
        <v>1</v>
      </c>
      <c r="AK97">
        <v>1</v>
      </c>
      <c r="AL97">
        <v>1</v>
      </c>
      <c r="AM97">
        <v>2</v>
      </c>
      <c r="AN97">
        <v>0</v>
      </c>
      <c r="AO97">
        <v>0</v>
      </c>
      <c r="AP97">
        <v>1</v>
      </c>
      <c r="AQ97">
        <v>1</v>
      </c>
      <c r="AR97">
        <v>0</v>
      </c>
      <c r="AS97" t="s">
        <v>3</v>
      </c>
      <c r="AT97">
        <v>0.02</v>
      </c>
      <c r="AU97" t="s">
        <v>3</v>
      </c>
      <c r="AV97">
        <v>0</v>
      </c>
      <c r="AW97">
        <v>2</v>
      </c>
      <c r="AX97">
        <v>65179745</v>
      </c>
      <c r="AY97">
        <v>1</v>
      </c>
      <c r="AZ97">
        <v>0</v>
      </c>
      <c r="BA97">
        <v>97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1.1222000000000001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1</v>
      </c>
      <c r="BQ97">
        <v>1.1222000000000001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1</v>
      </c>
      <c r="CV97">
        <v>0</v>
      </c>
      <c r="CW97">
        <v>0</v>
      </c>
      <c r="CX97">
        <f>ROUND(Y97*Source!I111,7)</f>
        <v>0.24</v>
      </c>
      <c r="CY97">
        <f t="shared" si="32"/>
        <v>77.989999999999995</v>
      </c>
      <c r="CZ97">
        <f t="shared" si="33"/>
        <v>56.11</v>
      </c>
      <c r="DA97">
        <f t="shared" si="34"/>
        <v>1.39</v>
      </c>
      <c r="DB97">
        <f t="shared" si="35"/>
        <v>1.1200000000000001</v>
      </c>
      <c r="DC97">
        <f t="shared" si="36"/>
        <v>0</v>
      </c>
      <c r="DD97" t="s">
        <v>3</v>
      </c>
      <c r="DE97" t="s">
        <v>3</v>
      </c>
      <c r="DF97">
        <f>ROUND(ROUND(AE97*AI97,2)*CX97,2)</f>
        <v>18.72</v>
      </c>
      <c r="DG97">
        <f t="shared" si="37"/>
        <v>0</v>
      </c>
      <c r="DH97">
        <f t="shared" ref="DH97:DH128" si="39">ROUND(ROUND(AG97,2)*CX97,2)</f>
        <v>0</v>
      </c>
      <c r="DI97">
        <f t="shared" ref="DI97:DI128" si="40">ROUND(ROUND(AH97,2)*CX97,2)</f>
        <v>0</v>
      </c>
      <c r="DJ97">
        <f t="shared" si="38"/>
        <v>18.72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ROW(Source!A111)</f>
        <v>111</v>
      </c>
      <c r="B98">
        <v>65178645</v>
      </c>
      <c r="C98">
        <v>65179701</v>
      </c>
      <c r="D98">
        <v>63885680</v>
      </c>
      <c r="E98">
        <v>112</v>
      </c>
      <c r="F98">
        <v>1</v>
      </c>
      <c r="G98">
        <v>1</v>
      </c>
      <c r="H98">
        <v>3</v>
      </c>
      <c r="I98" t="s">
        <v>459</v>
      </c>
      <c r="J98" t="s">
        <v>3</v>
      </c>
      <c r="K98" t="s">
        <v>460</v>
      </c>
      <c r="L98">
        <v>1371</v>
      </c>
      <c r="N98">
        <v>1013</v>
      </c>
      <c r="O98" t="s">
        <v>77</v>
      </c>
      <c r="P98" t="s">
        <v>77</v>
      </c>
      <c r="Q98">
        <v>1</v>
      </c>
      <c r="W98">
        <v>0</v>
      </c>
      <c r="X98">
        <v>457934895</v>
      </c>
      <c r="Y98">
        <f t="shared" si="31"/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1</v>
      </c>
      <c r="AO98">
        <v>0</v>
      </c>
      <c r="AP98">
        <v>1</v>
      </c>
      <c r="AQ98">
        <v>1</v>
      </c>
      <c r="AR98">
        <v>0</v>
      </c>
      <c r="AS98" t="s">
        <v>3</v>
      </c>
      <c r="AT98">
        <v>0</v>
      </c>
      <c r="AU98" t="s">
        <v>3</v>
      </c>
      <c r="AV98">
        <v>0</v>
      </c>
      <c r="AW98">
        <v>2</v>
      </c>
      <c r="AX98">
        <v>65179746</v>
      </c>
      <c r="AY98">
        <v>1</v>
      </c>
      <c r="AZ98">
        <v>0</v>
      </c>
      <c r="BA98">
        <v>98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ROUND(Y98*Source!I111,7)</f>
        <v>0</v>
      </c>
      <c r="CY98">
        <f t="shared" si="32"/>
        <v>0</v>
      </c>
      <c r="CZ98">
        <f t="shared" si="33"/>
        <v>0</v>
      </c>
      <c r="DA98">
        <f t="shared" si="34"/>
        <v>1</v>
      </c>
      <c r="DB98">
        <f t="shared" si="35"/>
        <v>0</v>
      </c>
      <c r="DC98">
        <f t="shared" si="36"/>
        <v>0</v>
      </c>
      <c r="DD98" t="s">
        <v>3</v>
      </c>
      <c r="DE98" t="s">
        <v>3</v>
      </c>
      <c r="DF98">
        <f>ROUND(ROUND(AE98,2)*CX98,2)</f>
        <v>0</v>
      </c>
      <c r="DG98">
        <f t="shared" si="37"/>
        <v>0</v>
      </c>
      <c r="DH98">
        <f t="shared" si="39"/>
        <v>0</v>
      </c>
      <c r="DI98">
        <f t="shared" si="40"/>
        <v>0</v>
      </c>
      <c r="DJ98">
        <f t="shared" si="38"/>
        <v>0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ROW(Source!A111)</f>
        <v>111</v>
      </c>
      <c r="B99">
        <v>65178645</v>
      </c>
      <c r="C99">
        <v>65179701</v>
      </c>
      <c r="D99">
        <v>63886352</v>
      </c>
      <c r="E99">
        <v>112</v>
      </c>
      <c r="F99">
        <v>1</v>
      </c>
      <c r="G99">
        <v>1</v>
      </c>
      <c r="H99">
        <v>3</v>
      </c>
      <c r="I99" t="s">
        <v>461</v>
      </c>
      <c r="J99" t="s">
        <v>3</v>
      </c>
      <c r="K99" t="s">
        <v>462</v>
      </c>
      <c r="L99">
        <v>1348</v>
      </c>
      <c r="N99">
        <v>1009</v>
      </c>
      <c r="O99" t="s">
        <v>244</v>
      </c>
      <c r="P99" t="s">
        <v>244</v>
      </c>
      <c r="Q99">
        <v>1000</v>
      </c>
      <c r="W99">
        <v>0</v>
      </c>
      <c r="X99">
        <v>1602794472</v>
      </c>
      <c r="Y99">
        <f t="shared" si="31"/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1</v>
      </c>
      <c r="AO99">
        <v>0</v>
      </c>
      <c r="AP99">
        <v>1</v>
      </c>
      <c r="AQ99">
        <v>1</v>
      </c>
      <c r="AR99">
        <v>0</v>
      </c>
      <c r="AS99" t="s">
        <v>3</v>
      </c>
      <c r="AT99">
        <v>0</v>
      </c>
      <c r="AU99" t="s">
        <v>3</v>
      </c>
      <c r="AV99">
        <v>0</v>
      </c>
      <c r="AW99">
        <v>2</v>
      </c>
      <c r="AX99">
        <v>65179747</v>
      </c>
      <c r="AY99">
        <v>1</v>
      </c>
      <c r="AZ99">
        <v>0</v>
      </c>
      <c r="BA99">
        <v>99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ROUND(Y99*Source!I111,7)</f>
        <v>0</v>
      </c>
      <c r="CY99">
        <f t="shared" si="32"/>
        <v>0</v>
      </c>
      <c r="CZ99">
        <f t="shared" si="33"/>
        <v>0</v>
      </c>
      <c r="DA99">
        <f t="shared" si="34"/>
        <v>1</v>
      </c>
      <c r="DB99">
        <f t="shared" si="35"/>
        <v>0</v>
      </c>
      <c r="DC99">
        <f t="shared" si="36"/>
        <v>0</v>
      </c>
      <c r="DD99" t="s">
        <v>3</v>
      </c>
      <c r="DE99" t="s">
        <v>3</v>
      </c>
      <c r="DF99">
        <f>ROUND(ROUND(AE99,2)*CX99,2)</f>
        <v>0</v>
      </c>
      <c r="DG99">
        <f t="shared" si="37"/>
        <v>0</v>
      </c>
      <c r="DH99">
        <f t="shared" si="39"/>
        <v>0</v>
      </c>
      <c r="DI99">
        <f t="shared" si="40"/>
        <v>0</v>
      </c>
      <c r="DJ99">
        <f t="shared" si="38"/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ROW(Source!A111)</f>
        <v>111</v>
      </c>
      <c r="B100">
        <v>65178645</v>
      </c>
      <c r="C100">
        <v>65179701</v>
      </c>
      <c r="D100">
        <v>63886499</v>
      </c>
      <c r="E100">
        <v>112</v>
      </c>
      <c r="F100">
        <v>1</v>
      </c>
      <c r="G100">
        <v>1</v>
      </c>
      <c r="H100">
        <v>3</v>
      </c>
      <c r="I100" t="s">
        <v>463</v>
      </c>
      <c r="J100" t="s">
        <v>3</v>
      </c>
      <c r="K100" t="s">
        <v>464</v>
      </c>
      <c r="L100">
        <v>1346</v>
      </c>
      <c r="N100">
        <v>1009</v>
      </c>
      <c r="O100" t="s">
        <v>253</v>
      </c>
      <c r="P100" t="s">
        <v>253</v>
      </c>
      <c r="Q100">
        <v>1</v>
      </c>
      <c r="W100">
        <v>0</v>
      </c>
      <c r="X100">
        <v>-1111733769</v>
      </c>
      <c r="Y100">
        <f t="shared" si="31"/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1</v>
      </c>
      <c r="AO100">
        <v>0</v>
      </c>
      <c r="AP100">
        <v>1</v>
      </c>
      <c r="AQ100">
        <v>1</v>
      </c>
      <c r="AR100">
        <v>0</v>
      </c>
      <c r="AS100" t="s">
        <v>3</v>
      </c>
      <c r="AT100">
        <v>0</v>
      </c>
      <c r="AU100" t="s">
        <v>3</v>
      </c>
      <c r="AV100">
        <v>0</v>
      </c>
      <c r="AW100">
        <v>2</v>
      </c>
      <c r="AX100">
        <v>65179748</v>
      </c>
      <c r="AY100">
        <v>1</v>
      </c>
      <c r="AZ100">
        <v>0</v>
      </c>
      <c r="BA100">
        <v>100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ROUND(Y100*Source!I111,7)</f>
        <v>0</v>
      </c>
      <c r="CY100">
        <f t="shared" si="32"/>
        <v>0</v>
      </c>
      <c r="CZ100">
        <f t="shared" si="33"/>
        <v>0</v>
      </c>
      <c r="DA100">
        <f t="shared" si="34"/>
        <v>1</v>
      </c>
      <c r="DB100">
        <f t="shared" si="35"/>
        <v>0</v>
      </c>
      <c r="DC100">
        <f t="shared" si="36"/>
        <v>0</v>
      </c>
      <c r="DD100" t="s">
        <v>3</v>
      </c>
      <c r="DE100" t="s">
        <v>3</v>
      </c>
      <c r="DF100">
        <f>ROUND(ROUND(AE100,2)*CX100,2)</f>
        <v>0</v>
      </c>
      <c r="DG100">
        <f t="shared" si="37"/>
        <v>0</v>
      </c>
      <c r="DH100">
        <f t="shared" si="39"/>
        <v>0</v>
      </c>
      <c r="DI100">
        <f t="shared" si="40"/>
        <v>0</v>
      </c>
      <c r="DJ100">
        <f t="shared" si="38"/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ROW(Source!A111)</f>
        <v>111</v>
      </c>
      <c r="B101">
        <v>65178645</v>
      </c>
      <c r="C101">
        <v>65179701</v>
      </c>
      <c r="D101">
        <v>63886801</v>
      </c>
      <c r="E101">
        <v>112</v>
      </c>
      <c r="F101">
        <v>1</v>
      </c>
      <c r="G101">
        <v>1</v>
      </c>
      <c r="H101">
        <v>3</v>
      </c>
      <c r="I101" t="s">
        <v>465</v>
      </c>
      <c r="J101" t="s">
        <v>3</v>
      </c>
      <c r="K101" t="s">
        <v>466</v>
      </c>
      <c r="L101">
        <v>1348</v>
      </c>
      <c r="N101">
        <v>1009</v>
      </c>
      <c r="O101" t="s">
        <v>244</v>
      </c>
      <c r="P101" t="s">
        <v>244</v>
      </c>
      <c r="Q101">
        <v>1000</v>
      </c>
      <c r="W101">
        <v>0</v>
      </c>
      <c r="X101">
        <v>1613753229</v>
      </c>
      <c r="Y101">
        <f t="shared" si="31"/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1</v>
      </c>
      <c r="AO101">
        <v>0</v>
      </c>
      <c r="AP101">
        <v>1</v>
      </c>
      <c r="AQ101">
        <v>1</v>
      </c>
      <c r="AR101">
        <v>0</v>
      </c>
      <c r="AS101" t="s">
        <v>3</v>
      </c>
      <c r="AT101">
        <v>0</v>
      </c>
      <c r="AU101" t="s">
        <v>3</v>
      </c>
      <c r="AV101">
        <v>0</v>
      </c>
      <c r="AW101">
        <v>2</v>
      </c>
      <c r="AX101">
        <v>65179749</v>
      </c>
      <c r="AY101">
        <v>1</v>
      </c>
      <c r="AZ101">
        <v>0</v>
      </c>
      <c r="BA101">
        <v>101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ROUND(Y101*Source!I111,7)</f>
        <v>0</v>
      </c>
      <c r="CY101">
        <f t="shared" si="32"/>
        <v>0</v>
      </c>
      <c r="CZ101">
        <f t="shared" si="33"/>
        <v>0</v>
      </c>
      <c r="DA101">
        <f t="shared" si="34"/>
        <v>1</v>
      </c>
      <c r="DB101">
        <f t="shared" si="35"/>
        <v>0</v>
      </c>
      <c r="DC101">
        <f t="shared" si="36"/>
        <v>0</v>
      </c>
      <c r="DD101" t="s">
        <v>3</v>
      </c>
      <c r="DE101" t="s">
        <v>3</v>
      </c>
      <c r="DF101">
        <f>ROUND(ROUND(AE101,2)*CX101,2)</f>
        <v>0</v>
      </c>
      <c r="DG101">
        <f t="shared" si="37"/>
        <v>0</v>
      </c>
      <c r="DH101">
        <f t="shared" si="39"/>
        <v>0</v>
      </c>
      <c r="DI101">
        <f t="shared" si="40"/>
        <v>0</v>
      </c>
      <c r="DJ101">
        <f t="shared" si="38"/>
        <v>0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ROW(Source!A111)</f>
        <v>111</v>
      </c>
      <c r="B102">
        <v>65178645</v>
      </c>
      <c r="C102">
        <v>65179701</v>
      </c>
      <c r="D102">
        <v>63972637</v>
      </c>
      <c r="E102">
        <v>1</v>
      </c>
      <c r="F102">
        <v>1</v>
      </c>
      <c r="G102">
        <v>1</v>
      </c>
      <c r="H102">
        <v>3</v>
      </c>
      <c r="I102" t="s">
        <v>467</v>
      </c>
      <c r="J102" t="s">
        <v>468</v>
      </c>
      <c r="K102" t="s">
        <v>469</v>
      </c>
      <c r="L102">
        <v>1348</v>
      </c>
      <c r="N102">
        <v>1009</v>
      </c>
      <c r="O102" t="s">
        <v>244</v>
      </c>
      <c r="P102" t="s">
        <v>244</v>
      </c>
      <c r="Q102">
        <v>1000</v>
      </c>
      <c r="W102">
        <v>0</v>
      </c>
      <c r="X102">
        <v>1506624618</v>
      </c>
      <c r="Y102">
        <f t="shared" si="31"/>
        <v>4.0000000000000002E-4</v>
      </c>
      <c r="AA102">
        <v>80257.66</v>
      </c>
      <c r="AB102">
        <v>0</v>
      </c>
      <c r="AC102">
        <v>0</v>
      </c>
      <c r="AD102">
        <v>0</v>
      </c>
      <c r="AE102">
        <v>61265.39</v>
      </c>
      <c r="AF102">
        <v>0</v>
      </c>
      <c r="AG102">
        <v>0</v>
      </c>
      <c r="AH102">
        <v>0</v>
      </c>
      <c r="AI102">
        <v>1.31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1</v>
      </c>
      <c r="AQ102">
        <v>1</v>
      </c>
      <c r="AR102">
        <v>0</v>
      </c>
      <c r="AS102" t="s">
        <v>3</v>
      </c>
      <c r="AT102">
        <v>4.0000000000000002E-4</v>
      </c>
      <c r="AU102" t="s">
        <v>3</v>
      </c>
      <c r="AV102">
        <v>0</v>
      </c>
      <c r="AW102">
        <v>2</v>
      </c>
      <c r="AX102">
        <v>65179750</v>
      </c>
      <c r="AY102">
        <v>1</v>
      </c>
      <c r="AZ102">
        <v>0</v>
      </c>
      <c r="BA102">
        <v>102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24.506156000000001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24.506156000000001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ROUND(Y102*Source!I111,7)</f>
        <v>4.7999999999999996E-3</v>
      </c>
      <c r="CY102">
        <f t="shared" si="32"/>
        <v>80257.66</v>
      </c>
      <c r="CZ102">
        <f t="shared" si="33"/>
        <v>61265.39</v>
      </c>
      <c r="DA102">
        <f t="shared" si="34"/>
        <v>1.31</v>
      </c>
      <c r="DB102">
        <f t="shared" si="35"/>
        <v>24.51</v>
      </c>
      <c r="DC102">
        <f t="shared" si="36"/>
        <v>0</v>
      </c>
      <c r="DD102" t="s">
        <v>3</v>
      </c>
      <c r="DE102" t="s">
        <v>3</v>
      </c>
      <c r="DF102">
        <f>ROUND(ROUND(AE102*AI102,2)*CX102,2)</f>
        <v>385.24</v>
      </c>
      <c r="DG102">
        <f t="shared" si="37"/>
        <v>0</v>
      </c>
      <c r="DH102">
        <f t="shared" si="39"/>
        <v>0</v>
      </c>
      <c r="DI102">
        <f t="shared" si="40"/>
        <v>0</v>
      </c>
      <c r="DJ102">
        <f t="shared" si="38"/>
        <v>385.24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ROW(Source!A111)</f>
        <v>111</v>
      </c>
      <c r="B103">
        <v>65178645</v>
      </c>
      <c r="C103">
        <v>65179701</v>
      </c>
      <c r="D103">
        <v>63972665</v>
      </c>
      <c r="E103">
        <v>1</v>
      </c>
      <c r="F103">
        <v>1</v>
      </c>
      <c r="G103">
        <v>1</v>
      </c>
      <c r="H103">
        <v>3</v>
      </c>
      <c r="I103" t="s">
        <v>470</v>
      </c>
      <c r="J103" t="s">
        <v>471</v>
      </c>
      <c r="K103" t="s">
        <v>472</v>
      </c>
      <c r="L103">
        <v>1348</v>
      </c>
      <c r="N103">
        <v>1009</v>
      </c>
      <c r="O103" t="s">
        <v>244</v>
      </c>
      <c r="P103" t="s">
        <v>244</v>
      </c>
      <c r="Q103">
        <v>1000</v>
      </c>
      <c r="W103">
        <v>0</v>
      </c>
      <c r="X103">
        <v>277510809</v>
      </c>
      <c r="Y103">
        <f t="shared" si="31"/>
        <v>1E-4</v>
      </c>
      <c r="AA103">
        <v>97625.600000000006</v>
      </c>
      <c r="AB103">
        <v>0</v>
      </c>
      <c r="AC103">
        <v>0</v>
      </c>
      <c r="AD103">
        <v>0</v>
      </c>
      <c r="AE103">
        <v>80020.98</v>
      </c>
      <c r="AF103">
        <v>0</v>
      </c>
      <c r="AG103">
        <v>0</v>
      </c>
      <c r="AH103">
        <v>0</v>
      </c>
      <c r="AI103">
        <v>1.22</v>
      </c>
      <c r="AJ103">
        <v>1</v>
      </c>
      <c r="AK103">
        <v>1</v>
      </c>
      <c r="AL103">
        <v>1</v>
      </c>
      <c r="AM103">
        <v>2</v>
      </c>
      <c r="AN103">
        <v>0</v>
      </c>
      <c r="AO103">
        <v>0</v>
      </c>
      <c r="AP103">
        <v>1</v>
      </c>
      <c r="AQ103">
        <v>1</v>
      </c>
      <c r="AR103">
        <v>0</v>
      </c>
      <c r="AS103" t="s">
        <v>3</v>
      </c>
      <c r="AT103">
        <v>1E-4</v>
      </c>
      <c r="AU103" t="s">
        <v>3</v>
      </c>
      <c r="AV103">
        <v>0</v>
      </c>
      <c r="AW103">
        <v>2</v>
      </c>
      <c r="AX103">
        <v>65179751</v>
      </c>
      <c r="AY103">
        <v>1</v>
      </c>
      <c r="AZ103">
        <v>0</v>
      </c>
      <c r="BA103">
        <v>103</v>
      </c>
      <c r="BB103">
        <v>1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8.0020980000000002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1</v>
      </c>
      <c r="BQ103">
        <v>8.0020980000000002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1</v>
      </c>
      <c r="CV103">
        <v>0</v>
      </c>
      <c r="CW103">
        <v>0</v>
      </c>
      <c r="CX103">
        <f>ROUND(Y103*Source!I111,7)</f>
        <v>1.1999999999999999E-3</v>
      </c>
      <c r="CY103">
        <f t="shared" si="32"/>
        <v>97625.600000000006</v>
      </c>
      <c r="CZ103">
        <f t="shared" si="33"/>
        <v>80020.98</v>
      </c>
      <c r="DA103">
        <f t="shared" si="34"/>
        <v>1.22</v>
      </c>
      <c r="DB103">
        <f t="shared" si="35"/>
        <v>8</v>
      </c>
      <c r="DC103">
        <f t="shared" si="36"/>
        <v>0</v>
      </c>
      <c r="DD103" t="s">
        <v>3</v>
      </c>
      <c r="DE103" t="s">
        <v>3</v>
      </c>
      <c r="DF103">
        <f>ROUND(ROUND(AE103*AI103,2)*CX103,2)</f>
        <v>117.15</v>
      </c>
      <c r="DG103">
        <f t="shared" si="37"/>
        <v>0</v>
      </c>
      <c r="DH103">
        <f t="shared" si="39"/>
        <v>0</v>
      </c>
      <c r="DI103">
        <f t="shared" si="40"/>
        <v>0</v>
      </c>
      <c r="DJ103">
        <f t="shared" si="38"/>
        <v>117.15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ROW(Source!A111)</f>
        <v>111</v>
      </c>
      <c r="B104">
        <v>65178645</v>
      </c>
      <c r="C104">
        <v>65179701</v>
      </c>
      <c r="D104">
        <v>63980018</v>
      </c>
      <c r="E104">
        <v>1</v>
      </c>
      <c r="F104">
        <v>1</v>
      </c>
      <c r="G104">
        <v>1</v>
      </c>
      <c r="H104">
        <v>3</v>
      </c>
      <c r="I104" t="s">
        <v>473</v>
      </c>
      <c r="J104" t="s">
        <v>474</v>
      </c>
      <c r="K104" t="s">
        <v>475</v>
      </c>
      <c r="L104">
        <v>1425</v>
      </c>
      <c r="N104">
        <v>1013</v>
      </c>
      <c r="O104" t="s">
        <v>162</v>
      </c>
      <c r="P104" t="s">
        <v>162</v>
      </c>
      <c r="Q104">
        <v>1</v>
      </c>
      <c r="W104">
        <v>0</v>
      </c>
      <c r="X104">
        <v>1499783694</v>
      </c>
      <c r="Y104">
        <f t="shared" si="31"/>
        <v>0.06</v>
      </c>
      <c r="AA104">
        <v>1186.49</v>
      </c>
      <c r="AB104">
        <v>0</v>
      </c>
      <c r="AC104">
        <v>0</v>
      </c>
      <c r="AD104">
        <v>0</v>
      </c>
      <c r="AE104">
        <v>1031.73</v>
      </c>
      <c r="AF104">
        <v>0</v>
      </c>
      <c r="AG104">
        <v>0</v>
      </c>
      <c r="AH104">
        <v>0</v>
      </c>
      <c r="AI104">
        <v>1.1499999999999999</v>
      </c>
      <c r="AJ104">
        <v>1</v>
      </c>
      <c r="AK104">
        <v>1</v>
      </c>
      <c r="AL104">
        <v>1</v>
      </c>
      <c r="AM104">
        <v>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3</v>
      </c>
      <c r="AT104">
        <v>0.06</v>
      </c>
      <c r="AU104" t="s">
        <v>3</v>
      </c>
      <c r="AV104">
        <v>0</v>
      </c>
      <c r="AW104">
        <v>2</v>
      </c>
      <c r="AX104">
        <v>65179752</v>
      </c>
      <c r="AY104">
        <v>1</v>
      </c>
      <c r="AZ104">
        <v>0</v>
      </c>
      <c r="BA104">
        <v>104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61.903799999999997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1</v>
      </c>
      <c r="BQ104">
        <v>61.903799999999997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1</v>
      </c>
      <c r="CV104">
        <v>0</v>
      </c>
      <c r="CW104">
        <v>0</v>
      </c>
      <c r="CX104">
        <f>ROUND(Y104*Source!I111,7)</f>
        <v>0.72</v>
      </c>
      <c r="CY104">
        <f t="shared" si="32"/>
        <v>1186.49</v>
      </c>
      <c r="CZ104">
        <f t="shared" si="33"/>
        <v>1031.73</v>
      </c>
      <c r="DA104">
        <f t="shared" si="34"/>
        <v>1.1499999999999999</v>
      </c>
      <c r="DB104">
        <f t="shared" si="35"/>
        <v>61.9</v>
      </c>
      <c r="DC104">
        <f t="shared" si="36"/>
        <v>0</v>
      </c>
      <c r="DD104" t="s">
        <v>3</v>
      </c>
      <c r="DE104" t="s">
        <v>3</v>
      </c>
      <c r="DF104">
        <f>ROUND(ROUND(AE104*AI104,2)*CX104,2)</f>
        <v>854.27</v>
      </c>
      <c r="DG104">
        <f t="shared" si="37"/>
        <v>0</v>
      </c>
      <c r="DH104">
        <f t="shared" si="39"/>
        <v>0</v>
      </c>
      <c r="DI104">
        <f t="shared" si="40"/>
        <v>0</v>
      </c>
      <c r="DJ104">
        <f t="shared" si="38"/>
        <v>854.27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ROW(Source!A111)</f>
        <v>111</v>
      </c>
      <c r="B105">
        <v>65178645</v>
      </c>
      <c r="C105">
        <v>65179701</v>
      </c>
      <c r="D105">
        <v>63889058</v>
      </c>
      <c r="E105">
        <v>112</v>
      </c>
      <c r="F105">
        <v>1</v>
      </c>
      <c r="G105">
        <v>1</v>
      </c>
      <c r="H105">
        <v>3</v>
      </c>
      <c r="I105" t="s">
        <v>476</v>
      </c>
      <c r="J105" t="s">
        <v>3</v>
      </c>
      <c r="K105" t="s">
        <v>477</v>
      </c>
      <c r="L105">
        <v>1371</v>
      </c>
      <c r="N105">
        <v>1013</v>
      </c>
      <c r="O105" t="s">
        <v>77</v>
      </c>
      <c r="P105" t="s">
        <v>77</v>
      </c>
      <c r="Q105">
        <v>1</v>
      </c>
      <c r="W105">
        <v>0</v>
      </c>
      <c r="X105">
        <v>-950997571</v>
      </c>
      <c r="Y105">
        <f t="shared" si="31"/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1</v>
      </c>
      <c r="AO105">
        <v>0</v>
      </c>
      <c r="AP105">
        <v>1</v>
      </c>
      <c r="AQ105">
        <v>1</v>
      </c>
      <c r="AR105">
        <v>0</v>
      </c>
      <c r="AS105" t="s">
        <v>3</v>
      </c>
      <c r="AT105">
        <v>0</v>
      </c>
      <c r="AU105" t="s">
        <v>3</v>
      </c>
      <c r="AV105">
        <v>0</v>
      </c>
      <c r="AW105">
        <v>2</v>
      </c>
      <c r="AX105">
        <v>65179753</v>
      </c>
      <c r="AY105">
        <v>1</v>
      </c>
      <c r="AZ105">
        <v>0</v>
      </c>
      <c r="BA105">
        <v>105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ROUND(Y105*Source!I111,7)</f>
        <v>0</v>
      </c>
      <c r="CY105">
        <f t="shared" si="32"/>
        <v>0</v>
      </c>
      <c r="CZ105">
        <f t="shared" si="33"/>
        <v>0</v>
      </c>
      <c r="DA105">
        <f t="shared" si="34"/>
        <v>1</v>
      </c>
      <c r="DB105">
        <f t="shared" si="35"/>
        <v>0</v>
      </c>
      <c r="DC105">
        <f t="shared" si="36"/>
        <v>0</v>
      </c>
      <c r="DD105" t="s">
        <v>3</v>
      </c>
      <c r="DE105" t="s">
        <v>3</v>
      </c>
      <c r="DF105">
        <f t="shared" ref="DF105:DF131" si="41">ROUND(ROUND(AE105,2)*CX105,2)</f>
        <v>0</v>
      </c>
      <c r="DG105">
        <f t="shared" si="37"/>
        <v>0</v>
      </c>
      <c r="DH105">
        <f t="shared" si="39"/>
        <v>0</v>
      </c>
      <c r="DI105">
        <f t="shared" si="40"/>
        <v>0</v>
      </c>
      <c r="DJ105">
        <f t="shared" si="38"/>
        <v>0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ROW(Source!A111)</f>
        <v>111</v>
      </c>
      <c r="B106">
        <v>65178645</v>
      </c>
      <c r="C106">
        <v>65179701</v>
      </c>
      <c r="D106">
        <v>63889074</v>
      </c>
      <c r="E106">
        <v>112</v>
      </c>
      <c r="F106">
        <v>1</v>
      </c>
      <c r="G106">
        <v>1</v>
      </c>
      <c r="H106">
        <v>3</v>
      </c>
      <c r="I106" t="s">
        <v>482</v>
      </c>
      <c r="J106" t="s">
        <v>3</v>
      </c>
      <c r="K106" t="s">
        <v>483</v>
      </c>
      <c r="L106">
        <v>1346</v>
      </c>
      <c r="N106">
        <v>1009</v>
      </c>
      <c r="O106" t="s">
        <v>253</v>
      </c>
      <c r="P106" t="s">
        <v>253</v>
      </c>
      <c r="Q106">
        <v>1</v>
      </c>
      <c r="W106">
        <v>0</v>
      </c>
      <c r="X106">
        <v>-1307724210</v>
      </c>
      <c r="Y106">
        <f t="shared" si="31"/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1</v>
      </c>
      <c r="AO106">
        <v>0</v>
      </c>
      <c r="AP106">
        <v>1</v>
      </c>
      <c r="AQ106">
        <v>1</v>
      </c>
      <c r="AR106">
        <v>0</v>
      </c>
      <c r="AS106" t="s">
        <v>3</v>
      </c>
      <c r="AT106">
        <v>0</v>
      </c>
      <c r="AU106" t="s">
        <v>3</v>
      </c>
      <c r="AV106">
        <v>0</v>
      </c>
      <c r="AW106">
        <v>2</v>
      </c>
      <c r="AX106">
        <v>65179754</v>
      </c>
      <c r="AY106">
        <v>1</v>
      </c>
      <c r="AZ106">
        <v>0</v>
      </c>
      <c r="BA106">
        <v>106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ROUND(Y106*Source!I111,7)</f>
        <v>0</v>
      </c>
      <c r="CY106">
        <f t="shared" si="32"/>
        <v>0</v>
      </c>
      <c r="CZ106">
        <f t="shared" si="33"/>
        <v>0</v>
      </c>
      <c r="DA106">
        <f t="shared" si="34"/>
        <v>1</v>
      </c>
      <c r="DB106">
        <f t="shared" si="35"/>
        <v>0</v>
      </c>
      <c r="DC106">
        <f t="shared" si="36"/>
        <v>0</v>
      </c>
      <c r="DD106" t="s">
        <v>3</v>
      </c>
      <c r="DE106" t="s">
        <v>3</v>
      </c>
      <c r="DF106">
        <f t="shared" si="41"/>
        <v>0</v>
      </c>
      <c r="DG106">
        <f t="shared" si="37"/>
        <v>0</v>
      </c>
      <c r="DH106">
        <f t="shared" si="39"/>
        <v>0</v>
      </c>
      <c r="DI106">
        <f t="shared" si="40"/>
        <v>0</v>
      </c>
      <c r="DJ106">
        <f t="shared" si="38"/>
        <v>0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ROW(Source!A111)</f>
        <v>111</v>
      </c>
      <c r="B107">
        <v>65178645</v>
      </c>
      <c r="C107">
        <v>65179701</v>
      </c>
      <c r="D107">
        <v>63889080</v>
      </c>
      <c r="E107">
        <v>112</v>
      </c>
      <c r="F107">
        <v>1</v>
      </c>
      <c r="G107">
        <v>1</v>
      </c>
      <c r="H107">
        <v>3</v>
      </c>
      <c r="I107" t="s">
        <v>484</v>
      </c>
      <c r="J107" t="s">
        <v>3</v>
      </c>
      <c r="K107" t="s">
        <v>483</v>
      </c>
      <c r="L107">
        <v>1346</v>
      </c>
      <c r="N107">
        <v>1009</v>
      </c>
      <c r="O107" t="s">
        <v>253</v>
      </c>
      <c r="P107" t="s">
        <v>253</v>
      </c>
      <c r="Q107">
        <v>1</v>
      </c>
      <c r="W107">
        <v>0</v>
      </c>
      <c r="X107">
        <v>644915416</v>
      </c>
      <c r="Y107">
        <f t="shared" si="31"/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1</v>
      </c>
      <c r="AO107">
        <v>0</v>
      </c>
      <c r="AP107">
        <v>1</v>
      </c>
      <c r="AQ107">
        <v>1</v>
      </c>
      <c r="AR107">
        <v>0</v>
      </c>
      <c r="AS107" t="s">
        <v>3</v>
      </c>
      <c r="AT107">
        <v>0</v>
      </c>
      <c r="AU107" t="s">
        <v>3</v>
      </c>
      <c r="AV107">
        <v>0</v>
      </c>
      <c r="AW107">
        <v>2</v>
      </c>
      <c r="AX107">
        <v>65179755</v>
      </c>
      <c r="AY107">
        <v>1</v>
      </c>
      <c r="AZ107">
        <v>0</v>
      </c>
      <c r="BA107">
        <v>107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ROUND(Y107*Source!I111,7)</f>
        <v>0</v>
      </c>
      <c r="CY107">
        <f t="shared" si="32"/>
        <v>0</v>
      </c>
      <c r="CZ107">
        <f t="shared" si="33"/>
        <v>0</v>
      </c>
      <c r="DA107">
        <f t="shared" si="34"/>
        <v>1</v>
      </c>
      <c r="DB107">
        <f t="shared" si="35"/>
        <v>0</v>
      </c>
      <c r="DC107">
        <f t="shared" si="36"/>
        <v>0</v>
      </c>
      <c r="DD107" t="s">
        <v>3</v>
      </c>
      <c r="DE107" t="s">
        <v>3</v>
      </c>
      <c r="DF107">
        <f t="shared" si="41"/>
        <v>0</v>
      </c>
      <c r="DG107">
        <f t="shared" si="37"/>
        <v>0</v>
      </c>
      <c r="DH107">
        <f t="shared" si="39"/>
        <v>0</v>
      </c>
      <c r="DI107">
        <f t="shared" si="40"/>
        <v>0</v>
      </c>
      <c r="DJ107">
        <f t="shared" si="38"/>
        <v>0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ROW(Source!A111)</f>
        <v>111</v>
      </c>
      <c r="B108">
        <v>65178645</v>
      </c>
      <c r="C108">
        <v>65179701</v>
      </c>
      <c r="D108">
        <v>63889103</v>
      </c>
      <c r="E108">
        <v>112</v>
      </c>
      <c r="F108">
        <v>1</v>
      </c>
      <c r="G108">
        <v>1</v>
      </c>
      <c r="H108">
        <v>3</v>
      </c>
      <c r="I108" t="s">
        <v>478</v>
      </c>
      <c r="J108" t="s">
        <v>3</v>
      </c>
      <c r="K108" t="s">
        <v>479</v>
      </c>
      <c r="L108">
        <v>1371</v>
      </c>
      <c r="N108">
        <v>1013</v>
      </c>
      <c r="O108" t="s">
        <v>77</v>
      </c>
      <c r="P108" t="s">
        <v>77</v>
      </c>
      <c r="Q108">
        <v>1</v>
      </c>
      <c r="W108">
        <v>0</v>
      </c>
      <c r="X108">
        <v>-320198552</v>
      </c>
      <c r="Y108">
        <f t="shared" si="31"/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1</v>
      </c>
      <c r="AO108">
        <v>0</v>
      </c>
      <c r="AP108">
        <v>1</v>
      </c>
      <c r="AQ108">
        <v>1</v>
      </c>
      <c r="AR108">
        <v>0</v>
      </c>
      <c r="AS108" t="s">
        <v>3</v>
      </c>
      <c r="AT108">
        <v>0</v>
      </c>
      <c r="AU108" t="s">
        <v>3</v>
      </c>
      <c r="AV108">
        <v>0</v>
      </c>
      <c r="AW108">
        <v>2</v>
      </c>
      <c r="AX108">
        <v>65179756</v>
      </c>
      <c r="AY108">
        <v>1</v>
      </c>
      <c r="AZ108">
        <v>0</v>
      </c>
      <c r="BA108">
        <v>108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ROUND(Y108*Source!I111,7)</f>
        <v>0</v>
      </c>
      <c r="CY108">
        <f t="shared" si="32"/>
        <v>0</v>
      </c>
      <c r="CZ108">
        <f t="shared" si="33"/>
        <v>0</v>
      </c>
      <c r="DA108">
        <f t="shared" si="34"/>
        <v>1</v>
      </c>
      <c r="DB108">
        <f t="shared" si="35"/>
        <v>0</v>
      </c>
      <c r="DC108">
        <f t="shared" si="36"/>
        <v>0</v>
      </c>
      <c r="DD108" t="s">
        <v>3</v>
      </c>
      <c r="DE108" t="s">
        <v>3</v>
      </c>
      <c r="DF108">
        <f t="shared" si="41"/>
        <v>0</v>
      </c>
      <c r="DG108">
        <f t="shared" si="37"/>
        <v>0</v>
      </c>
      <c r="DH108">
        <f t="shared" si="39"/>
        <v>0</v>
      </c>
      <c r="DI108">
        <f t="shared" si="40"/>
        <v>0</v>
      </c>
      <c r="DJ108">
        <f t="shared" si="38"/>
        <v>0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ROW(Source!A111)</f>
        <v>111</v>
      </c>
      <c r="B109">
        <v>65178645</v>
      </c>
      <c r="C109">
        <v>65179701</v>
      </c>
      <c r="D109">
        <v>63889106</v>
      </c>
      <c r="E109">
        <v>112</v>
      </c>
      <c r="F109">
        <v>1</v>
      </c>
      <c r="G109">
        <v>1</v>
      </c>
      <c r="H109">
        <v>3</v>
      </c>
      <c r="I109" t="s">
        <v>480</v>
      </c>
      <c r="J109" t="s">
        <v>3</v>
      </c>
      <c r="K109" t="s">
        <v>481</v>
      </c>
      <c r="L109">
        <v>1371</v>
      </c>
      <c r="N109">
        <v>1013</v>
      </c>
      <c r="O109" t="s">
        <v>77</v>
      </c>
      <c r="P109" t="s">
        <v>77</v>
      </c>
      <c r="Q109">
        <v>1</v>
      </c>
      <c r="W109">
        <v>0</v>
      </c>
      <c r="X109">
        <v>326010188</v>
      </c>
      <c r="Y109">
        <f t="shared" si="31"/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1</v>
      </c>
      <c r="AO109">
        <v>0</v>
      </c>
      <c r="AP109">
        <v>1</v>
      </c>
      <c r="AQ109">
        <v>1</v>
      </c>
      <c r="AR109">
        <v>0</v>
      </c>
      <c r="AS109" t="s">
        <v>3</v>
      </c>
      <c r="AT109">
        <v>0</v>
      </c>
      <c r="AU109" t="s">
        <v>3</v>
      </c>
      <c r="AV109">
        <v>0</v>
      </c>
      <c r="AW109">
        <v>2</v>
      </c>
      <c r="AX109">
        <v>65179757</v>
      </c>
      <c r="AY109">
        <v>1</v>
      </c>
      <c r="AZ109">
        <v>0</v>
      </c>
      <c r="BA109">
        <v>109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ROUND(Y109*Source!I111,7)</f>
        <v>0</v>
      </c>
      <c r="CY109">
        <f t="shared" si="32"/>
        <v>0</v>
      </c>
      <c r="CZ109">
        <f t="shared" si="33"/>
        <v>0</v>
      </c>
      <c r="DA109">
        <f t="shared" si="34"/>
        <v>1</v>
      </c>
      <c r="DB109">
        <f t="shared" si="35"/>
        <v>0</v>
      </c>
      <c r="DC109">
        <f t="shared" si="36"/>
        <v>0</v>
      </c>
      <c r="DD109" t="s">
        <v>3</v>
      </c>
      <c r="DE109" t="s">
        <v>3</v>
      </c>
      <c r="DF109">
        <f t="shared" si="41"/>
        <v>0</v>
      </c>
      <c r="DG109">
        <f t="shared" si="37"/>
        <v>0</v>
      </c>
      <c r="DH109">
        <f t="shared" si="39"/>
        <v>0</v>
      </c>
      <c r="DI109">
        <f t="shared" si="40"/>
        <v>0</v>
      </c>
      <c r="DJ109">
        <f t="shared" si="38"/>
        <v>0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ROW(Source!A112)</f>
        <v>112</v>
      </c>
      <c r="B110">
        <v>65178645</v>
      </c>
      <c r="C110">
        <v>65179120</v>
      </c>
      <c r="D110">
        <v>63884140</v>
      </c>
      <c r="E110">
        <v>112</v>
      </c>
      <c r="F110">
        <v>1</v>
      </c>
      <c r="G110">
        <v>1</v>
      </c>
      <c r="H110">
        <v>1</v>
      </c>
      <c r="I110" t="s">
        <v>404</v>
      </c>
      <c r="J110" t="s">
        <v>3</v>
      </c>
      <c r="K110" t="s">
        <v>485</v>
      </c>
      <c r="L110">
        <v>1191</v>
      </c>
      <c r="N110">
        <v>1013</v>
      </c>
      <c r="O110" t="s">
        <v>372</v>
      </c>
      <c r="P110" t="s">
        <v>372</v>
      </c>
      <c r="Q110">
        <v>1</v>
      </c>
      <c r="W110">
        <v>0</v>
      </c>
      <c r="X110">
        <v>1733635447</v>
      </c>
      <c r="Y110">
        <f t="shared" si="31"/>
        <v>0.21</v>
      </c>
      <c r="AA110">
        <v>0</v>
      </c>
      <c r="AB110">
        <v>0</v>
      </c>
      <c r="AC110">
        <v>0</v>
      </c>
      <c r="AD110">
        <v>468.58</v>
      </c>
      <c r="AE110">
        <v>0</v>
      </c>
      <c r="AF110">
        <v>0</v>
      </c>
      <c r="AG110">
        <v>0</v>
      </c>
      <c r="AH110">
        <v>468.58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0</v>
      </c>
      <c r="AP110">
        <v>1</v>
      </c>
      <c r="AQ110">
        <v>1</v>
      </c>
      <c r="AR110">
        <v>0</v>
      </c>
      <c r="AS110" t="s">
        <v>3</v>
      </c>
      <c r="AT110">
        <v>0.21</v>
      </c>
      <c r="AU110" t="s">
        <v>3</v>
      </c>
      <c r="AV110">
        <v>1</v>
      </c>
      <c r="AW110">
        <v>2</v>
      </c>
      <c r="AX110">
        <v>65179642</v>
      </c>
      <c r="AY110">
        <v>1</v>
      </c>
      <c r="AZ110">
        <v>0</v>
      </c>
      <c r="BA110">
        <v>110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98.401799999999994</v>
      </c>
      <c r="BN110">
        <v>0.21</v>
      </c>
      <c r="BO110">
        <v>0</v>
      </c>
      <c r="BP110">
        <v>1</v>
      </c>
      <c r="BQ110">
        <v>0</v>
      </c>
      <c r="BR110">
        <v>0</v>
      </c>
      <c r="BS110">
        <v>0</v>
      </c>
      <c r="BT110">
        <v>98.401799999999994</v>
      </c>
      <c r="BU110">
        <v>0.21</v>
      </c>
      <c r="BV110">
        <v>0</v>
      </c>
      <c r="BW110">
        <v>1</v>
      </c>
      <c r="CU110">
        <f>ROUND(AT110*Source!I112*AH110*AL110,2)</f>
        <v>2361.64</v>
      </c>
      <c r="CV110">
        <f>ROUND(Y110*Source!I112,7)</f>
        <v>5.04</v>
      </c>
      <c r="CW110">
        <v>0</v>
      </c>
      <c r="CX110">
        <f>ROUND(Y110*Source!I112,7)</f>
        <v>5.04</v>
      </c>
      <c r="CY110">
        <f>AD110</f>
        <v>468.58</v>
      </c>
      <c r="CZ110">
        <f>AH110</f>
        <v>468.58</v>
      </c>
      <c r="DA110">
        <f>AL110</f>
        <v>1</v>
      </c>
      <c r="DB110">
        <f t="shared" si="35"/>
        <v>98.4</v>
      </c>
      <c r="DC110">
        <f t="shared" si="36"/>
        <v>0</v>
      </c>
      <c r="DD110" t="s">
        <v>3</v>
      </c>
      <c r="DE110" t="s">
        <v>3</v>
      </c>
      <c r="DF110">
        <f t="shared" si="41"/>
        <v>0</v>
      </c>
      <c r="DG110">
        <f t="shared" si="37"/>
        <v>0</v>
      </c>
      <c r="DH110">
        <f t="shared" si="39"/>
        <v>0</v>
      </c>
      <c r="DI110">
        <f t="shared" si="40"/>
        <v>2361.64</v>
      </c>
      <c r="DJ110">
        <f>DI110</f>
        <v>2361.64</v>
      </c>
      <c r="DK110">
        <v>1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ROW(Source!A112)</f>
        <v>112</v>
      </c>
      <c r="B111">
        <v>65178645</v>
      </c>
      <c r="C111">
        <v>65179120</v>
      </c>
      <c r="D111">
        <v>63884368</v>
      </c>
      <c r="E111">
        <v>112</v>
      </c>
      <c r="F111">
        <v>1</v>
      </c>
      <c r="G111">
        <v>1</v>
      </c>
      <c r="H111">
        <v>1</v>
      </c>
      <c r="I111" t="s">
        <v>373</v>
      </c>
      <c r="J111" t="s">
        <v>3</v>
      </c>
      <c r="K111" t="s">
        <v>374</v>
      </c>
      <c r="L111">
        <v>1191</v>
      </c>
      <c r="N111">
        <v>1013</v>
      </c>
      <c r="O111" t="s">
        <v>372</v>
      </c>
      <c r="P111" t="s">
        <v>372</v>
      </c>
      <c r="Q111">
        <v>1</v>
      </c>
      <c r="W111">
        <v>0</v>
      </c>
      <c r="X111">
        <v>-1417349443</v>
      </c>
      <c r="Y111">
        <f t="shared" si="31"/>
        <v>0.27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0</v>
      </c>
      <c r="AP111">
        <v>1</v>
      </c>
      <c r="AQ111">
        <v>1</v>
      </c>
      <c r="AR111">
        <v>0</v>
      </c>
      <c r="AS111" t="s">
        <v>3</v>
      </c>
      <c r="AT111">
        <v>0.27</v>
      </c>
      <c r="AU111" t="s">
        <v>3</v>
      </c>
      <c r="AV111">
        <v>2</v>
      </c>
      <c r="AW111">
        <v>2</v>
      </c>
      <c r="AX111">
        <v>65179643</v>
      </c>
      <c r="AY111">
        <v>1</v>
      </c>
      <c r="AZ111">
        <v>0</v>
      </c>
      <c r="BA111">
        <v>111</v>
      </c>
      <c r="BB111">
        <v>1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ROUND(Y111*Source!I112,7)</f>
        <v>6.48</v>
      </c>
      <c r="CY111">
        <f>AD111</f>
        <v>0</v>
      </c>
      <c r="CZ111">
        <f>AH111</f>
        <v>0</v>
      </c>
      <c r="DA111">
        <f>AL111</f>
        <v>1</v>
      </c>
      <c r="DB111">
        <f t="shared" si="35"/>
        <v>0</v>
      </c>
      <c r="DC111">
        <f t="shared" si="36"/>
        <v>0</v>
      </c>
      <c r="DD111" t="s">
        <v>3</v>
      </c>
      <c r="DE111" t="s">
        <v>3</v>
      </c>
      <c r="DF111">
        <f t="shared" si="41"/>
        <v>0</v>
      </c>
      <c r="DG111">
        <f t="shared" si="37"/>
        <v>0</v>
      </c>
      <c r="DH111">
        <f t="shared" si="39"/>
        <v>0</v>
      </c>
      <c r="DI111">
        <f t="shared" si="40"/>
        <v>0</v>
      </c>
      <c r="DJ111">
        <f>DI111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ROW(Source!A112)</f>
        <v>112</v>
      </c>
      <c r="B112">
        <v>65178645</v>
      </c>
      <c r="C112">
        <v>65179120</v>
      </c>
      <c r="D112">
        <v>64001515</v>
      </c>
      <c r="E112">
        <v>1</v>
      </c>
      <c r="F112">
        <v>1</v>
      </c>
      <c r="G112">
        <v>1</v>
      </c>
      <c r="H112">
        <v>2</v>
      </c>
      <c r="I112" t="s">
        <v>386</v>
      </c>
      <c r="J112" t="s">
        <v>387</v>
      </c>
      <c r="K112" t="s">
        <v>388</v>
      </c>
      <c r="L112">
        <v>1368</v>
      </c>
      <c r="N112">
        <v>1011</v>
      </c>
      <c r="O112" t="s">
        <v>378</v>
      </c>
      <c r="P112" t="s">
        <v>378</v>
      </c>
      <c r="Q112">
        <v>1</v>
      </c>
      <c r="W112">
        <v>0</v>
      </c>
      <c r="X112">
        <v>-613270886</v>
      </c>
      <c r="Y112">
        <f t="shared" si="31"/>
        <v>0.27</v>
      </c>
      <c r="AA112">
        <v>0</v>
      </c>
      <c r="AB112">
        <v>1551.19</v>
      </c>
      <c r="AC112">
        <v>658.94</v>
      </c>
      <c r="AD112">
        <v>0</v>
      </c>
      <c r="AE112">
        <v>0</v>
      </c>
      <c r="AF112">
        <v>1551.19</v>
      </c>
      <c r="AG112">
        <v>658.94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3</v>
      </c>
      <c r="AT112">
        <v>0.27</v>
      </c>
      <c r="AU112" t="s">
        <v>3</v>
      </c>
      <c r="AV112">
        <v>1</v>
      </c>
      <c r="AW112">
        <v>2</v>
      </c>
      <c r="AX112">
        <v>65179644</v>
      </c>
      <c r="AY112">
        <v>1</v>
      </c>
      <c r="AZ112">
        <v>0</v>
      </c>
      <c r="BA112">
        <v>112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418.82130000000006</v>
      </c>
      <c r="BL112">
        <v>177.91380000000004</v>
      </c>
      <c r="BM112">
        <v>0</v>
      </c>
      <c r="BN112">
        <v>0</v>
      </c>
      <c r="BO112">
        <v>0.27</v>
      </c>
      <c r="BP112">
        <v>1</v>
      </c>
      <c r="BQ112">
        <v>0</v>
      </c>
      <c r="BR112">
        <v>418.82130000000006</v>
      </c>
      <c r="BS112">
        <v>177.91380000000004</v>
      </c>
      <c r="BT112">
        <v>0</v>
      </c>
      <c r="BU112">
        <v>0</v>
      </c>
      <c r="BV112">
        <v>0.27</v>
      </c>
      <c r="BW112">
        <v>1</v>
      </c>
      <c r="CV112">
        <v>0</v>
      </c>
      <c r="CW112">
        <f>ROUND(Y112*Source!I112*DO112,7)</f>
        <v>6.48</v>
      </c>
      <c r="CX112">
        <f>ROUND(Y112*Source!I112,7)</f>
        <v>6.48</v>
      </c>
      <c r="CY112">
        <f>AB112</f>
        <v>1551.19</v>
      </c>
      <c r="CZ112">
        <f>AF112</f>
        <v>1551.19</v>
      </c>
      <c r="DA112">
        <f>AJ112</f>
        <v>1</v>
      </c>
      <c r="DB112">
        <f t="shared" si="35"/>
        <v>418.82</v>
      </c>
      <c r="DC112">
        <f t="shared" si="36"/>
        <v>177.91</v>
      </c>
      <c r="DD112" t="s">
        <v>3</v>
      </c>
      <c r="DE112" t="s">
        <v>3</v>
      </c>
      <c r="DF112">
        <f t="shared" si="41"/>
        <v>0</v>
      </c>
      <c r="DG112">
        <f t="shared" si="37"/>
        <v>10051.709999999999</v>
      </c>
      <c r="DH112">
        <f t="shared" si="39"/>
        <v>4269.93</v>
      </c>
      <c r="DI112">
        <f t="shared" si="40"/>
        <v>0</v>
      </c>
      <c r="DJ112">
        <f>DG112+DH112</f>
        <v>14321.64</v>
      </c>
      <c r="DK112">
        <v>1</v>
      </c>
      <c r="DL112" t="s">
        <v>389</v>
      </c>
      <c r="DM112">
        <v>6</v>
      </c>
      <c r="DN112" t="s">
        <v>372</v>
      </c>
      <c r="DO112">
        <v>1</v>
      </c>
    </row>
    <row r="113" spans="1:119" x14ac:dyDescent="0.2">
      <c r="A113">
        <f>ROW(Source!A112)</f>
        <v>112</v>
      </c>
      <c r="B113">
        <v>65178645</v>
      </c>
      <c r="C113">
        <v>65179120</v>
      </c>
      <c r="D113">
        <v>63889959</v>
      </c>
      <c r="E113">
        <v>112</v>
      </c>
      <c r="F113">
        <v>1</v>
      </c>
      <c r="G113">
        <v>1</v>
      </c>
      <c r="H113">
        <v>3</v>
      </c>
      <c r="I113" t="s">
        <v>406</v>
      </c>
      <c r="J113" t="s">
        <v>3</v>
      </c>
      <c r="K113" t="s">
        <v>407</v>
      </c>
      <c r="L113">
        <v>3277935</v>
      </c>
      <c r="N113">
        <v>1013</v>
      </c>
      <c r="O113" t="s">
        <v>408</v>
      </c>
      <c r="P113" t="s">
        <v>408</v>
      </c>
      <c r="Q113">
        <v>1</v>
      </c>
      <c r="W113">
        <v>0</v>
      </c>
      <c r="X113">
        <v>274903907</v>
      </c>
      <c r="Y113">
        <f t="shared" si="31"/>
        <v>2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0</v>
      </c>
      <c r="AP113">
        <v>0</v>
      </c>
      <c r="AQ113">
        <v>1</v>
      </c>
      <c r="AR113">
        <v>0</v>
      </c>
      <c r="AS113" t="s">
        <v>3</v>
      </c>
      <c r="AT113">
        <v>2</v>
      </c>
      <c r="AU113" t="s">
        <v>3</v>
      </c>
      <c r="AV113">
        <v>0</v>
      </c>
      <c r="AW113">
        <v>2</v>
      </c>
      <c r="AX113">
        <v>65179645</v>
      </c>
      <c r="AY113">
        <v>1</v>
      </c>
      <c r="AZ113">
        <v>0</v>
      </c>
      <c r="BA113">
        <v>113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ROUND(Y113*Source!I112,7)</f>
        <v>48</v>
      </c>
      <c r="CY113">
        <f>AA113</f>
        <v>0</v>
      </c>
      <c r="CZ113">
        <f>AE113</f>
        <v>0</v>
      </c>
      <c r="DA113">
        <f>AI113</f>
        <v>1</v>
      </c>
      <c r="DB113">
        <f t="shared" si="35"/>
        <v>0</v>
      </c>
      <c r="DC113">
        <f t="shared" si="36"/>
        <v>0</v>
      </c>
      <c r="DD113" t="s">
        <v>3</v>
      </c>
      <c r="DE113" t="s">
        <v>3</v>
      </c>
      <c r="DF113">
        <f t="shared" si="41"/>
        <v>0</v>
      </c>
      <c r="DG113">
        <f t="shared" si="37"/>
        <v>0</v>
      </c>
      <c r="DH113">
        <f t="shared" si="39"/>
        <v>0</v>
      </c>
      <c r="DI113">
        <f t="shared" si="40"/>
        <v>0</v>
      </c>
      <c r="DJ113">
        <f>DF113</f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ROW(Source!A113)</f>
        <v>113</v>
      </c>
      <c r="B114">
        <v>65178645</v>
      </c>
      <c r="C114">
        <v>65179129</v>
      </c>
      <c r="D114">
        <v>63884326</v>
      </c>
      <c r="E114">
        <v>112</v>
      </c>
      <c r="F114">
        <v>1</v>
      </c>
      <c r="G114">
        <v>1</v>
      </c>
      <c r="H114">
        <v>1</v>
      </c>
      <c r="I114" t="s">
        <v>486</v>
      </c>
      <c r="J114" t="s">
        <v>3</v>
      </c>
      <c r="K114" t="s">
        <v>487</v>
      </c>
      <c r="L114">
        <v>1369</v>
      </c>
      <c r="N114">
        <v>1013</v>
      </c>
      <c r="O114" t="s">
        <v>488</v>
      </c>
      <c r="P114" t="s">
        <v>488</v>
      </c>
      <c r="Q114">
        <v>1</v>
      </c>
      <c r="W114">
        <v>0</v>
      </c>
      <c r="X114">
        <v>-236928766</v>
      </c>
      <c r="Y114">
        <f t="shared" si="31"/>
        <v>0.99</v>
      </c>
      <c r="AA114">
        <v>0</v>
      </c>
      <c r="AB114">
        <v>0</v>
      </c>
      <c r="AC114">
        <v>0</v>
      </c>
      <c r="AD114">
        <v>399.03</v>
      </c>
      <c r="AE114">
        <v>0</v>
      </c>
      <c r="AF114">
        <v>0</v>
      </c>
      <c r="AG114">
        <v>0</v>
      </c>
      <c r="AH114">
        <v>399.03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3</v>
      </c>
      <c r="AT114">
        <v>0.99</v>
      </c>
      <c r="AU114" t="s">
        <v>3</v>
      </c>
      <c r="AV114">
        <v>1</v>
      </c>
      <c r="AW114">
        <v>2</v>
      </c>
      <c r="AX114">
        <v>65179659</v>
      </c>
      <c r="AY114">
        <v>1</v>
      </c>
      <c r="AZ114">
        <v>0</v>
      </c>
      <c r="BA114">
        <v>114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395.03969999999998</v>
      </c>
      <c r="BN114">
        <v>0.99</v>
      </c>
      <c r="BO114">
        <v>0</v>
      </c>
      <c r="BP114">
        <v>1</v>
      </c>
      <c r="BQ114">
        <v>0</v>
      </c>
      <c r="BR114">
        <v>0</v>
      </c>
      <c r="BS114">
        <v>0</v>
      </c>
      <c r="BT114">
        <v>395.03969999999998</v>
      </c>
      <c r="BU114">
        <v>0.99</v>
      </c>
      <c r="BV114">
        <v>0</v>
      </c>
      <c r="BW114">
        <v>1</v>
      </c>
      <c r="CU114">
        <f>ROUND(AT114*Source!I113*AH114*AL114,2)</f>
        <v>375.29</v>
      </c>
      <c r="CV114">
        <f>ROUND(Y114*Source!I113,7)</f>
        <v>0.9405</v>
      </c>
      <c r="CW114">
        <v>0</v>
      </c>
      <c r="CX114">
        <f>ROUND(Y114*Source!I113,7)</f>
        <v>0.9405</v>
      </c>
      <c r="CY114">
        <f>AD114</f>
        <v>399.03</v>
      </c>
      <c r="CZ114">
        <f>AH114</f>
        <v>399.03</v>
      </c>
      <c r="DA114">
        <f>AL114</f>
        <v>1</v>
      </c>
      <c r="DB114">
        <f t="shared" si="35"/>
        <v>395.04</v>
      </c>
      <c r="DC114">
        <f t="shared" si="36"/>
        <v>0</v>
      </c>
      <c r="DD114" t="s">
        <v>3</v>
      </c>
      <c r="DE114" t="s">
        <v>3</v>
      </c>
      <c r="DF114">
        <f t="shared" si="41"/>
        <v>0</v>
      </c>
      <c r="DG114">
        <f t="shared" si="37"/>
        <v>0</v>
      </c>
      <c r="DH114">
        <f t="shared" si="39"/>
        <v>0</v>
      </c>
      <c r="DI114">
        <f t="shared" si="40"/>
        <v>375.29</v>
      </c>
      <c r="DJ114">
        <f>DI114</f>
        <v>375.29</v>
      </c>
      <c r="DK114">
        <v>1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ROW(Source!A113)</f>
        <v>113</v>
      </c>
      <c r="B115">
        <v>65178645</v>
      </c>
      <c r="C115">
        <v>65179129</v>
      </c>
      <c r="D115">
        <v>63884328</v>
      </c>
      <c r="E115">
        <v>112</v>
      </c>
      <c r="F115">
        <v>1</v>
      </c>
      <c r="G115">
        <v>1</v>
      </c>
      <c r="H115">
        <v>1</v>
      </c>
      <c r="I115" t="s">
        <v>489</v>
      </c>
      <c r="J115" t="s">
        <v>3</v>
      </c>
      <c r="K115" t="s">
        <v>490</v>
      </c>
      <c r="L115">
        <v>1369</v>
      </c>
      <c r="N115">
        <v>1013</v>
      </c>
      <c r="O115" t="s">
        <v>488</v>
      </c>
      <c r="P115" t="s">
        <v>488</v>
      </c>
      <c r="Q115">
        <v>1</v>
      </c>
      <c r="W115">
        <v>0</v>
      </c>
      <c r="X115">
        <v>-587036825</v>
      </c>
      <c r="Y115">
        <f t="shared" si="31"/>
        <v>47.29</v>
      </c>
      <c r="AA115">
        <v>0</v>
      </c>
      <c r="AB115">
        <v>0</v>
      </c>
      <c r="AC115">
        <v>0</v>
      </c>
      <c r="AD115">
        <v>435.64</v>
      </c>
      <c r="AE115">
        <v>0</v>
      </c>
      <c r="AF115">
        <v>0</v>
      </c>
      <c r="AG115">
        <v>0</v>
      </c>
      <c r="AH115">
        <v>435.64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3</v>
      </c>
      <c r="AT115">
        <v>47.29</v>
      </c>
      <c r="AU115" t="s">
        <v>3</v>
      </c>
      <c r="AV115">
        <v>1</v>
      </c>
      <c r="AW115">
        <v>2</v>
      </c>
      <c r="AX115">
        <v>65179660</v>
      </c>
      <c r="AY115">
        <v>1</v>
      </c>
      <c r="AZ115">
        <v>0</v>
      </c>
      <c r="BA115">
        <v>115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20601.4156</v>
      </c>
      <c r="BN115">
        <v>47.29</v>
      </c>
      <c r="BO115">
        <v>0</v>
      </c>
      <c r="BP115">
        <v>1</v>
      </c>
      <c r="BQ115">
        <v>0</v>
      </c>
      <c r="BR115">
        <v>0</v>
      </c>
      <c r="BS115">
        <v>0</v>
      </c>
      <c r="BT115">
        <v>20601.4156</v>
      </c>
      <c r="BU115">
        <v>47.29</v>
      </c>
      <c r="BV115">
        <v>0</v>
      </c>
      <c r="BW115">
        <v>1</v>
      </c>
      <c r="CU115">
        <f>ROUND(AT115*Source!I113*AH115*AL115,2)</f>
        <v>19571.34</v>
      </c>
      <c r="CV115">
        <f>ROUND(Y115*Source!I113,7)</f>
        <v>44.9255</v>
      </c>
      <c r="CW115">
        <v>0</v>
      </c>
      <c r="CX115">
        <f>ROUND(Y115*Source!I113,7)</f>
        <v>44.9255</v>
      </c>
      <c r="CY115">
        <f>AD115</f>
        <v>435.64</v>
      </c>
      <c r="CZ115">
        <f>AH115</f>
        <v>435.64</v>
      </c>
      <c r="DA115">
        <f>AL115</f>
        <v>1</v>
      </c>
      <c r="DB115">
        <f t="shared" si="35"/>
        <v>20601.419999999998</v>
      </c>
      <c r="DC115">
        <f t="shared" si="36"/>
        <v>0</v>
      </c>
      <c r="DD115" t="s">
        <v>3</v>
      </c>
      <c r="DE115" t="s">
        <v>3</v>
      </c>
      <c r="DF115">
        <f t="shared" si="41"/>
        <v>0</v>
      </c>
      <c r="DG115">
        <f t="shared" si="37"/>
        <v>0</v>
      </c>
      <c r="DH115">
        <f t="shared" si="39"/>
        <v>0</v>
      </c>
      <c r="DI115">
        <f t="shared" si="40"/>
        <v>19571.34</v>
      </c>
      <c r="DJ115">
        <f>DI115</f>
        <v>19571.34</v>
      </c>
      <c r="DK115">
        <v>1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ROW(Source!A113)</f>
        <v>113</v>
      </c>
      <c r="B116">
        <v>65178645</v>
      </c>
      <c r="C116">
        <v>65179129</v>
      </c>
      <c r="D116">
        <v>63884334</v>
      </c>
      <c r="E116">
        <v>112</v>
      </c>
      <c r="F116">
        <v>1</v>
      </c>
      <c r="G116">
        <v>1</v>
      </c>
      <c r="H116">
        <v>1</v>
      </c>
      <c r="I116" t="s">
        <v>491</v>
      </c>
      <c r="J116" t="s">
        <v>3</v>
      </c>
      <c r="K116" t="s">
        <v>492</v>
      </c>
      <c r="L116">
        <v>1369</v>
      </c>
      <c r="N116">
        <v>1013</v>
      </c>
      <c r="O116" t="s">
        <v>488</v>
      </c>
      <c r="P116" t="s">
        <v>488</v>
      </c>
      <c r="Q116">
        <v>1</v>
      </c>
      <c r="W116">
        <v>0</v>
      </c>
      <c r="X116">
        <v>-512803540</v>
      </c>
      <c r="Y116">
        <f t="shared" si="31"/>
        <v>23.42</v>
      </c>
      <c r="AA116">
        <v>0</v>
      </c>
      <c r="AB116">
        <v>0</v>
      </c>
      <c r="AC116">
        <v>0</v>
      </c>
      <c r="AD116">
        <v>490.55</v>
      </c>
      <c r="AE116">
        <v>0</v>
      </c>
      <c r="AF116">
        <v>0</v>
      </c>
      <c r="AG116">
        <v>0</v>
      </c>
      <c r="AH116">
        <v>490.55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3</v>
      </c>
      <c r="AT116">
        <v>23.42</v>
      </c>
      <c r="AU116" t="s">
        <v>3</v>
      </c>
      <c r="AV116">
        <v>1</v>
      </c>
      <c r="AW116">
        <v>2</v>
      </c>
      <c r="AX116">
        <v>65179661</v>
      </c>
      <c r="AY116">
        <v>1</v>
      </c>
      <c r="AZ116">
        <v>0</v>
      </c>
      <c r="BA116">
        <v>116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11488.681</v>
      </c>
      <c r="BN116">
        <v>23.42</v>
      </c>
      <c r="BO116">
        <v>0</v>
      </c>
      <c r="BP116">
        <v>1</v>
      </c>
      <c r="BQ116">
        <v>0</v>
      </c>
      <c r="BR116">
        <v>0</v>
      </c>
      <c r="BS116">
        <v>0</v>
      </c>
      <c r="BT116">
        <v>11488.681</v>
      </c>
      <c r="BU116">
        <v>23.42</v>
      </c>
      <c r="BV116">
        <v>0</v>
      </c>
      <c r="BW116">
        <v>1</v>
      </c>
      <c r="CU116">
        <f>ROUND(AT116*Source!I113*AH116*AL116,2)</f>
        <v>10914.25</v>
      </c>
      <c r="CV116">
        <f>ROUND(Y116*Source!I113,7)</f>
        <v>22.248999999999999</v>
      </c>
      <c r="CW116">
        <v>0</v>
      </c>
      <c r="CX116">
        <f>ROUND(Y116*Source!I113,7)</f>
        <v>22.248999999999999</v>
      </c>
      <c r="CY116">
        <f>AD116</f>
        <v>490.55</v>
      </c>
      <c r="CZ116">
        <f>AH116</f>
        <v>490.55</v>
      </c>
      <c r="DA116">
        <f>AL116</f>
        <v>1</v>
      </c>
      <c r="DB116">
        <f t="shared" si="35"/>
        <v>11488.68</v>
      </c>
      <c r="DC116">
        <f t="shared" si="36"/>
        <v>0</v>
      </c>
      <c r="DD116" t="s">
        <v>3</v>
      </c>
      <c r="DE116" t="s">
        <v>3</v>
      </c>
      <c r="DF116">
        <f t="shared" si="41"/>
        <v>0</v>
      </c>
      <c r="DG116">
        <f t="shared" si="37"/>
        <v>0</v>
      </c>
      <c r="DH116">
        <f t="shared" si="39"/>
        <v>0</v>
      </c>
      <c r="DI116">
        <f t="shared" si="40"/>
        <v>10914.25</v>
      </c>
      <c r="DJ116">
        <f>DI116</f>
        <v>10914.25</v>
      </c>
      <c r="DK116">
        <v>1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ROW(Source!A113)</f>
        <v>113</v>
      </c>
      <c r="B117">
        <v>65178645</v>
      </c>
      <c r="C117">
        <v>65179129</v>
      </c>
      <c r="D117">
        <v>63884336</v>
      </c>
      <c r="E117">
        <v>112</v>
      </c>
      <c r="F117">
        <v>1</v>
      </c>
      <c r="G117">
        <v>1</v>
      </c>
      <c r="H117">
        <v>1</v>
      </c>
      <c r="I117" t="s">
        <v>493</v>
      </c>
      <c r="J117" t="s">
        <v>3</v>
      </c>
      <c r="K117" t="s">
        <v>494</v>
      </c>
      <c r="L117">
        <v>1369</v>
      </c>
      <c r="N117">
        <v>1013</v>
      </c>
      <c r="O117" t="s">
        <v>488</v>
      </c>
      <c r="P117" t="s">
        <v>488</v>
      </c>
      <c r="Q117">
        <v>1</v>
      </c>
      <c r="W117">
        <v>0</v>
      </c>
      <c r="X117">
        <v>1518711480</v>
      </c>
      <c r="Y117">
        <f t="shared" si="31"/>
        <v>23.42</v>
      </c>
      <c r="AA117">
        <v>0</v>
      </c>
      <c r="AB117">
        <v>0</v>
      </c>
      <c r="AC117">
        <v>0</v>
      </c>
      <c r="AD117">
        <v>563.76</v>
      </c>
      <c r="AE117">
        <v>0</v>
      </c>
      <c r="AF117">
        <v>0</v>
      </c>
      <c r="AG117">
        <v>0</v>
      </c>
      <c r="AH117">
        <v>563.76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0</v>
      </c>
      <c r="AP117">
        <v>1</v>
      </c>
      <c r="AQ117">
        <v>1</v>
      </c>
      <c r="AR117">
        <v>0</v>
      </c>
      <c r="AS117" t="s">
        <v>3</v>
      </c>
      <c r="AT117">
        <v>23.42</v>
      </c>
      <c r="AU117" t="s">
        <v>3</v>
      </c>
      <c r="AV117">
        <v>1</v>
      </c>
      <c r="AW117">
        <v>2</v>
      </c>
      <c r="AX117">
        <v>65179662</v>
      </c>
      <c r="AY117">
        <v>1</v>
      </c>
      <c r="AZ117">
        <v>0</v>
      </c>
      <c r="BA117">
        <v>117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13203.2592</v>
      </c>
      <c r="BN117">
        <v>23.42</v>
      </c>
      <c r="BO117">
        <v>0</v>
      </c>
      <c r="BP117">
        <v>1</v>
      </c>
      <c r="BQ117">
        <v>0</v>
      </c>
      <c r="BR117">
        <v>0</v>
      </c>
      <c r="BS117">
        <v>0</v>
      </c>
      <c r="BT117">
        <v>13203.2592</v>
      </c>
      <c r="BU117">
        <v>23.42</v>
      </c>
      <c r="BV117">
        <v>0</v>
      </c>
      <c r="BW117">
        <v>1</v>
      </c>
      <c r="CU117">
        <f>ROUND(AT117*Source!I113*AH117*AL117,2)</f>
        <v>12543.1</v>
      </c>
      <c r="CV117">
        <f>ROUND(Y117*Source!I113,7)</f>
        <v>22.248999999999999</v>
      </c>
      <c r="CW117">
        <v>0</v>
      </c>
      <c r="CX117">
        <f>ROUND(Y117*Source!I113,7)</f>
        <v>22.248999999999999</v>
      </c>
      <c r="CY117">
        <f>AD117</f>
        <v>563.76</v>
      </c>
      <c r="CZ117">
        <f>AH117</f>
        <v>563.76</v>
      </c>
      <c r="DA117">
        <f>AL117</f>
        <v>1</v>
      </c>
      <c r="DB117">
        <f t="shared" si="35"/>
        <v>13203.26</v>
      </c>
      <c r="DC117">
        <f t="shared" si="36"/>
        <v>0</v>
      </c>
      <c r="DD117" t="s">
        <v>3</v>
      </c>
      <c r="DE117" t="s">
        <v>3</v>
      </c>
      <c r="DF117">
        <f t="shared" si="41"/>
        <v>0</v>
      </c>
      <c r="DG117">
        <f t="shared" si="37"/>
        <v>0</v>
      </c>
      <c r="DH117">
        <f t="shared" si="39"/>
        <v>0</v>
      </c>
      <c r="DI117">
        <f t="shared" si="40"/>
        <v>12543.1</v>
      </c>
      <c r="DJ117">
        <f>DI117</f>
        <v>12543.1</v>
      </c>
      <c r="DK117">
        <v>1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ROW(Source!A113)</f>
        <v>113</v>
      </c>
      <c r="B118">
        <v>65178645</v>
      </c>
      <c r="C118">
        <v>65179129</v>
      </c>
      <c r="D118">
        <v>63884368</v>
      </c>
      <c r="E118">
        <v>112</v>
      </c>
      <c r="F118">
        <v>1</v>
      </c>
      <c r="G118">
        <v>1</v>
      </c>
      <c r="H118">
        <v>1</v>
      </c>
      <c r="I118" t="s">
        <v>373</v>
      </c>
      <c r="J118" t="s">
        <v>3</v>
      </c>
      <c r="K118" t="s">
        <v>374</v>
      </c>
      <c r="L118">
        <v>1191</v>
      </c>
      <c r="N118">
        <v>1013</v>
      </c>
      <c r="O118" t="s">
        <v>372</v>
      </c>
      <c r="P118" t="s">
        <v>372</v>
      </c>
      <c r="Q118">
        <v>1</v>
      </c>
      <c r="W118">
        <v>0</v>
      </c>
      <c r="X118">
        <v>-1417349443</v>
      </c>
      <c r="Y118">
        <f t="shared" si="31"/>
        <v>24.89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0</v>
      </c>
      <c r="AP118">
        <v>1</v>
      </c>
      <c r="AQ118">
        <v>1</v>
      </c>
      <c r="AR118">
        <v>0</v>
      </c>
      <c r="AS118" t="s">
        <v>3</v>
      </c>
      <c r="AT118">
        <v>24.89</v>
      </c>
      <c r="AU118" t="s">
        <v>3</v>
      </c>
      <c r="AV118">
        <v>2</v>
      </c>
      <c r="AW118">
        <v>2</v>
      </c>
      <c r="AX118">
        <v>65179663</v>
      </c>
      <c r="AY118">
        <v>1</v>
      </c>
      <c r="AZ118">
        <v>0</v>
      </c>
      <c r="BA118">
        <v>118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v>0</v>
      </c>
      <c r="CX118">
        <f>ROUND(Y118*Source!I113,7)</f>
        <v>23.645499999999998</v>
      </c>
      <c r="CY118">
        <f>AD118</f>
        <v>0</v>
      </c>
      <c r="CZ118">
        <f>AH118</f>
        <v>0</v>
      </c>
      <c r="DA118">
        <f>AL118</f>
        <v>1</v>
      </c>
      <c r="DB118">
        <f t="shared" si="35"/>
        <v>0</v>
      </c>
      <c r="DC118">
        <f t="shared" si="36"/>
        <v>0</v>
      </c>
      <c r="DD118" t="s">
        <v>3</v>
      </c>
      <c r="DE118" t="s">
        <v>3</v>
      </c>
      <c r="DF118">
        <f t="shared" si="41"/>
        <v>0</v>
      </c>
      <c r="DG118">
        <f t="shared" si="37"/>
        <v>0</v>
      </c>
      <c r="DH118">
        <f t="shared" si="39"/>
        <v>0</v>
      </c>
      <c r="DI118">
        <f t="shared" si="40"/>
        <v>0</v>
      </c>
      <c r="DJ118">
        <f>DI118</f>
        <v>0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ROW(Source!A113)</f>
        <v>113</v>
      </c>
      <c r="B119">
        <v>65178645</v>
      </c>
      <c r="C119">
        <v>65179129</v>
      </c>
      <c r="D119">
        <v>64001515</v>
      </c>
      <c r="E119">
        <v>1</v>
      </c>
      <c r="F119">
        <v>1</v>
      </c>
      <c r="G119">
        <v>1</v>
      </c>
      <c r="H119">
        <v>2</v>
      </c>
      <c r="I119" t="s">
        <v>386</v>
      </c>
      <c r="J119" t="s">
        <v>387</v>
      </c>
      <c r="K119" t="s">
        <v>388</v>
      </c>
      <c r="L119">
        <v>1368</v>
      </c>
      <c r="N119">
        <v>1011</v>
      </c>
      <c r="O119" t="s">
        <v>378</v>
      </c>
      <c r="P119" t="s">
        <v>378</v>
      </c>
      <c r="Q119">
        <v>1</v>
      </c>
      <c r="W119">
        <v>0</v>
      </c>
      <c r="X119">
        <v>-613270886</v>
      </c>
      <c r="Y119">
        <f t="shared" si="31"/>
        <v>0.75</v>
      </c>
      <c r="AA119">
        <v>0</v>
      </c>
      <c r="AB119">
        <v>1551.19</v>
      </c>
      <c r="AC119">
        <v>658.94</v>
      </c>
      <c r="AD119">
        <v>0</v>
      </c>
      <c r="AE119">
        <v>0</v>
      </c>
      <c r="AF119">
        <v>1551.19</v>
      </c>
      <c r="AG119">
        <v>658.94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1</v>
      </c>
      <c r="AQ119">
        <v>1</v>
      </c>
      <c r="AR119">
        <v>0</v>
      </c>
      <c r="AS119" t="s">
        <v>3</v>
      </c>
      <c r="AT119">
        <v>0.75</v>
      </c>
      <c r="AU119" t="s">
        <v>3</v>
      </c>
      <c r="AV119">
        <v>1</v>
      </c>
      <c r="AW119">
        <v>2</v>
      </c>
      <c r="AX119">
        <v>65179664</v>
      </c>
      <c r="AY119">
        <v>1</v>
      </c>
      <c r="AZ119">
        <v>0</v>
      </c>
      <c r="BA119">
        <v>119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1163.3924999999999</v>
      </c>
      <c r="BL119">
        <v>494.20500000000004</v>
      </c>
      <c r="BM119">
        <v>0</v>
      </c>
      <c r="BN119">
        <v>0</v>
      </c>
      <c r="BO119">
        <v>0.75</v>
      </c>
      <c r="BP119">
        <v>1</v>
      </c>
      <c r="BQ119">
        <v>0</v>
      </c>
      <c r="BR119">
        <v>1163.3924999999999</v>
      </c>
      <c r="BS119">
        <v>494.20500000000004</v>
      </c>
      <c r="BT119">
        <v>0</v>
      </c>
      <c r="BU119">
        <v>0</v>
      </c>
      <c r="BV119">
        <v>0.75</v>
      </c>
      <c r="BW119">
        <v>1</v>
      </c>
      <c r="CV119">
        <v>0</v>
      </c>
      <c r="CW119">
        <f>ROUND(Y119*Source!I113*DO119,7)</f>
        <v>0.71250000000000002</v>
      </c>
      <c r="CX119">
        <f>ROUND(Y119*Source!I113,7)</f>
        <v>0.71250000000000002</v>
      </c>
      <c r="CY119">
        <f>AB119</f>
        <v>1551.19</v>
      </c>
      <c r="CZ119">
        <f>AF119</f>
        <v>1551.19</v>
      </c>
      <c r="DA119">
        <f>AJ119</f>
        <v>1</v>
      </c>
      <c r="DB119">
        <f t="shared" si="35"/>
        <v>1163.3900000000001</v>
      </c>
      <c r="DC119">
        <f t="shared" si="36"/>
        <v>494.21</v>
      </c>
      <c r="DD119" t="s">
        <v>3</v>
      </c>
      <c r="DE119" t="s">
        <v>3</v>
      </c>
      <c r="DF119">
        <f t="shared" si="41"/>
        <v>0</v>
      </c>
      <c r="DG119">
        <f t="shared" si="37"/>
        <v>1105.22</v>
      </c>
      <c r="DH119">
        <f t="shared" si="39"/>
        <v>469.49</v>
      </c>
      <c r="DI119">
        <f t="shared" si="40"/>
        <v>0</v>
      </c>
      <c r="DJ119">
        <f>DG119+DH119</f>
        <v>1574.71</v>
      </c>
      <c r="DK119">
        <v>1</v>
      </c>
      <c r="DL119" t="s">
        <v>389</v>
      </c>
      <c r="DM119">
        <v>6</v>
      </c>
      <c r="DN119" t="s">
        <v>372</v>
      </c>
      <c r="DO119">
        <v>1</v>
      </c>
    </row>
    <row r="120" spans="1:119" x14ac:dyDescent="0.2">
      <c r="A120">
        <f>ROW(Source!A113)</f>
        <v>113</v>
      </c>
      <c r="B120">
        <v>65178645</v>
      </c>
      <c r="C120">
        <v>65179129</v>
      </c>
      <c r="D120">
        <v>64001649</v>
      </c>
      <c r="E120">
        <v>1</v>
      </c>
      <c r="F120">
        <v>1</v>
      </c>
      <c r="G120">
        <v>1</v>
      </c>
      <c r="H120">
        <v>2</v>
      </c>
      <c r="I120" t="s">
        <v>495</v>
      </c>
      <c r="J120" t="s">
        <v>496</v>
      </c>
      <c r="K120" t="s">
        <v>497</v>
      </c>
      <c r="L120">
        <v>1368</v>
      </c>
      <c r="N120">
        <v>1011</v>
      </c>
      <c r="O120" t="s">
        <v>378</v>
      </c>
      <c r="P120" t="s">
        <v>378</v>
      </c>
      <c r="Q120">
        <v>1</v>
      </c>
      <c r="W120">
        <v>0</v>
      </c>
      <c r="X120">
        <v>-1604995044</v>
      </c>
      <c r="Y120">
        <f t="shared" si="31"/>
        <v>0.81</v>
      </c>
      <c r="AA120">
        <v>0</v>
      </c>
      <c r="AB120">
        <v>15.12</v>
      </c>
      <c r="AC120">
        <v>0</v>
      </c>
      <c r="AD120">
        <v>0</v>
      </c>
      <c r="AE120">
        <v>0</v>
      </c>
      <c r="AF120">
        <v>15.12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3</v>
      </c>
      <c r="AT120">
        <v>0.81</v>
      </c>
      <c r="AU120" t="s">
        <v>3</v>
      </c>
      <c r="AV120">
        <v>1</v>
      </c>
      <c r="AW120">
        <v>2</v>
      </c>
      <c r="AX120">
        <v>65179665</v>
      </c>
      <c r="AY120">
        <v>1</v>
      </c>
      <c r="AZ120">
        <v>0</v>
      </c>
      <c r="BA120">
        <v>120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12.247199999999999</v>
      </c>
      <c r="BL120">
        <v>0</v>
      </c>
      <c r="BM120">
        <v>0</v>
      </c>
      <c r="BN120">
        <v>0</v>
      </c>
      <c r="BO120">
        <v>0</v>
      </c>
      <c r="BP120">
        <v>1</v>
      </c>
      <c r="BQ120">
        <v>0</v>
      </c>
      <c r="BR120">
        <v>12.247199999999999</v>
      </c>
      <c r="BS120">
        <v>0</v>
      </c>
      <c r="BT120">
        <v>0</v>
      </c>
      <c r="BU120">
        <v>0</v>
      </c>
      <c r="BV120">
        <v>0</v>
      </c>
      <c r="BW120">
        <v>1</v>
      </c>
      <c r="CV120">
        <v>0</v>
      </c>
      <c r="CW120">
        <f>ROUND(Y120*Source!I113*DO120,7)</f>
        <v>0</v>
      </c>
      <c r="CX120">
        <f>ROUND(Y120*Source!I113,7)</f>
        <v>0.76949999999999996</v>
      </c>
      <c r="CY120">
        <f>AB120</f>
        <v>15.12</v>
      </c>
      <c r="CZ120">
        <f>AF120</f>
        <v>15.12</v>
      </c>
      <c r="DA120">
        <f>AJ120</f>
        <v>1</v>
      </c>
      <c r="DB120">
        <f t="shared" si="35"/>
        <v>12.25</v>
      </c>
      <c r="DC120">
        <f t="shared" si="36"/>
        <v>0</v>
      </c>
      <c r="DD120" t="s">
        <v>3</v>
      </c>
      <c r="DE120" t="s">
        <v>3</v>
      </c>
      <c r="DF120">
        <f t="shared" si="41"/>
        <v>0</v>
      </c>
      <c r="DG120">
        <f t="shared" si="37"/>
        <v>11.63</v>
      </c>
      <c r="DH120">
        <f t="shared" si="39"/>
        <v>0</v>
      </c>
      <c r="DI120">
        <f t="shared" si="40"/>
        <v>0</v>
      </c>
      <c r="DJ120">
        <f>DG120+DH120</f>
        <v>11.63</v>
      </c>
      <c r="DK120">
        <v>1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ROW(Source!A113)</f>
        <v>113</v>
      </c>
      <c r="B121">
        <v>65178645</v>
      </c>
      <c r="C121">
        <v>65179129</v>
      </c>
      <c r="D121">
        <v>64001688</v>
      </c>
      <c r="E121">
        <v>1</v>
      </c>
      <c r="F121">
        <v>1</v>
      </c>
      <c r="G121">
        <v>1</v>
      </c>
      <c r="H121">
        <v>2</v>
      </c>
      <c r="I121" t="s">
        <v>398</v>
      </c>
      <c r="J121" t="s">
        <v>399</v>
      </c>
      <c r="K121" t="s">
        <v>400</v>
      </c>
      <c r="L121">
        <v>1368</v>
      </c>
      <c r="N121">
        <v>1011</v>
      </c>
      <c r="O121" t="s">
        <v>378</v>
      </c>
      <c r="P121" t="s">
        <v>378</v>
      </c>
      <c r="Q121">
        <v>1</v>
      </c>
      <c r="W121">
        <v>0</v>
      </c>
      <c r="X121">
        <v>-780150906</v>
      </c>
      <c r="Y121">
        <f t="shared" si="31"/>
        <v>22.74</v>
      </c>
      <c r="AA121">
        <v>0</v>
      </c>
      <c r="AB121">
        <v>471.55</v>
      </c>
      <c r="AC121">
        <v>490.55</v>
      </c>
      <c r="AD121">
        <v>0</v>
      </c>
      <c r="AE121">
        <v>0</v>
      </c>
      <c r="AF121">
        <v>346.73</v>
      </c>
      <c r="AG121">
        <v>490.55</v>
      </c>
      <c r="AH121">
        <v>0</v>
      </c>
      <c r="AI121">
        <v>1</v>
      </c>
      <c r="AJ121">
        <v>1.36</v>
      </c>
      <c r="AK121">
        <v>1</v>
      </c>
      <c r="AL121">
        <v>1</v>
      </c>
      <c r="AM121">
        <v>2</v>
      </c>
      <c r="AN121">
        <v>0</v>
      </c>
      <c r="AO121">
        <v>0</v>
      </c>
      <c r="AP121">
        <v>1</v>
      </c>
      <c r="AQ121">
        <v>1</v>
      </c>
      <c r="AR121">
        <v>0</v>
      </c>
      <c r="AS121" t="s">
        <v>3</v>
      </c>
      <c r="AT121">
        <v>22.74</v>
      </c>
      <c r="AU121" t="s">
        <v>3</v>
      </c>
      <c r="AV121">
        <v>1</v>
      </c>
      <c r="AW121">
        <v>2</v>
      </c>
      <c r="AX121">
        <v>65179666</v>
      </c>
      <c r="AY121">
        <v>1</v>
      </c>
      <c r="AZ121">
        <v>0</v>
      </c>
      <c r="BA121">
        <v>121</v>
      </c>
      <c r="BB121">
        <v>1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7884.6401999999998</v>
      </c>
      <c r="BL121">
        <v>11155.107</v>
      </c>
      <c r="BM121">
        <v>0</v>
      </c>
      <c r="BN121">
        <v>0</v>
      </c>
      <c r="BO121">
        <v>22.74</v>
      </c>
      <c r="BP121">
        <v>1</v>
      </c>
      <c r="BQ121">
        <v>0</v>
      </c>
      <c r="BR121">
        <v>7884.6401999999998</v>
      </c>
      <c r="BS121">
        <v>11155.107</v>
      </c>
      <c r="BT121">
        <v>0</v>
      </c>
      <c r="BU121">
        <v>0</v>
      </c>
      <c r="BV121">
        <v>22.74</v>
      </c>
      <c r="BW121">
        <v>1</v>
      </c>
      <c r="CV121">
        <v>0</v>
      </c>
      <c r="CW121">
        <f>ROUND(Y121*Source!I113*DO121,7)</f>
        <v>21.603000000000002</v>
      </c>
      <c r="CX121">
        <f>ROUND(Y121*Source!I113,7)</f>
        <v>21.603000000000002</v>
      </c>
      <c r="CY121">
        <f>AB121</f>
        <v>471.55</v>
      </c>
      <c r="CZ121">
        <f>AF121</f>
        <v>346.73</v>
      </c>
      <c r="DA121">
        <f>AJ121</f>
        <v>1.36</v>
      </c>
      <c r="DB121">
        <f t="shared" si="35"/>
        <v>7884.64</v>
      </c>
      <c r="DC121">
        <f t="shared" si="36"/>
        <v>11155.11</v>
      </c>
      <c r="DD121" t="s">
        <v>3</v>
      </c>
      <c r="DE121" t="s">
        <v>3</v>
      </c>
      <c r="DF121">
        <f t="shared" si="41"/>
        <v>0</v>
      </c>
      <c r="DG121">
        <f>ROUND(ROUND(AF121*AJ121,2)*CX121,2)</f>
        <v>10186.89</v>
      </c>
      <c r="DH121">
        <f t="shared" si="39"/>
        <v>10597.35</v>
      </c>
      <c r="DI121">
        <f t="shared" si="40"/>
        <v>0</v>
      </c>
      <c r="DJ121">
        <f>DG121+DH121</f>
        <v>20784.239999999998</v>
      </c>
      <c r="DK121">
        <v>0</v>
      </c>
      <c r="DL121" t="s">
        <v>383</v>
      </c>
      <c r="DM121">
        <v>4</v>
      </c>
      <c r="DN121" t="s">
        <v>372</v>
      </c>
      <c r="DO121">
        <v>1</v>
      </c>
    </row>
    <row r="122" spans="1:119" x14ac:dyDescent="0.2">
      <c r="A122">
        <f>ROW(Source!A113)</f>
        <v>113</v>
      </c>
      <c r="B122">
        <v>65178645</v>
      </c>
      <c r="C122">
        <v>65179129</v>
      </c>
      <c r="D122">
        <v>64002400</v>
      </c>
      <c r="E122">
        <v>1</v>
      </c>
      <c r="F122">
        <v>1</v>
      </c>
      <c r="G122">
        <v>1</v>
      </c>
      <c r="H122">
        <v>2</v>
      </c>
      <c r="I122" t="s">
        <v>380</v>
      </c>
      <c r="J122" t="s">
        <v>381</v>
      </c>
      <c r="K122" t="s">
        <v>382</v>
      </c>
      <c r="L122">
        <v>1368</v>
      </c>
      <c r="N122">
        <v>1011</v>
      </c>
      <c r="O122" t="s">
        <v>378</v>
      </c>
      <c r="P122" t="s">
        <v>378</v>
      </c>
      <c r="Q122">
        <v>1</v>
      </c>
      <c r="W122">
        <v>0</v>
      </c>
      <c r="X122">
        <v>1032761012</v>
      </c>
      <c r="Y122">
        <f t="shared" si="31"/>
        <v>0.59</v>
      </c>
      <c r="AA122">
        <v>0</v>
      </c>
      <c r="AB122">
        <v>578.28</v>
      </c>
      <c r="AC122">
        <v>490.55</v>
      </c>
      <c r="AD122">
        <v>0</v>
      </c>
      <c r="AE122">
        <v>0</v>
      </c>
      <c r="AF122">
        <v>477.92</v>
      </c>
      <c r="AG122">
        <v>490.55</v>
      </c>
      <c r="AH122">
        <v>0</v>
      </c>
      <c r="AI122">
        <v>1</v>
      </c>
      <c r="AJ122">
        <v>1.21</v>
      </c>
      <c r="AK122">
        <v>1</v>
      </c>
      <c r="AL122">
        <v>1</v>
      </c>
      <c r="AM122">
        <v>2</v>
      </c>
      <c r="AN122">
        <v>0</v>
      </c>
      <c r="AO122">
        <v>0</v>
      </c>
      <c r="AP122">
        <v>1</v>
      </c>
      <c r="AQ122">
        <v>1</v>
      </c>
      <c r="AR122">
        <v>0</v>
      </c>
      <c r="AS122" t="s">
        <v>3</v>
      </c>
      <c r="AT122">
        <v>0.59</v>
      </c>
      <c r="AU122" t="s">
        <v>3</v>
      </c>
      <c r="AV122">
        <v>1</v>
      </c>
      <c r="AW122">
        <v>2</v>
      </c>
      <c r="AX122">
        <v>65179667</v>
      </c>
      <c r="AY122">
        <v>1</v>
      </c>
      <c r="AZ122">
        <v>0</v>
      </c>
      <c r="BA122">
        <v>122</v>
      </c>
      <c r="BB122">
        <v>1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281.97280000000001</v>
      </c>
      <c r="BL122">
        <v>289.42449999999997</v>
      </c>
      <c r="BM122">
        <v>0</v>
      </c>
      <c r="BN122">
        <v>0</v>
      </c>
      <c r="BO122">
        <v>0.59</v>
      </c>
      <c r="BP122">
        <v>1</v>
      </c>
      <c r="BQ122">
        <v>0</v>
      </c>
      <c r="BR122">
        <v>281.97280000000001</v>
      </c>
      <c r="BS122">
        <v>289.42449999999997</v>
      </c>
      <c r="BT122">
        <v>0</v>
      </c>
      <c r="BU122">
        <v>0</v>
      </c>
      <c r="BV122">
        <v>0.59</v>
      </c>
      <c r="BW122">
        <v>1</v>
      </c>
      <c r="CV122">
        <v>0</v>
      </c>
      <c r="CW122">
        <f>ROUND(Y122*Source!I113*DO122,7)</f>
        <v>0.5605</v>
      </c>
      <c r="CX122">
        <f>ROUND(Y122*Source!I113,7)</f>
        <v>0.5605</v>
      </c>
      <c r="CY122">
        <f>AB122</f>
        <v>578.28</v>
      </c>
      <c r="CZ122">
        <f>AF122</f>
        <v>477.92</v>
      </c>
      <c r="DA122">
        <f>AJ122</f>
        <v>1.21</v>
      </c>
      <c r="DB122">
        <f t="shared" si="35"/>
        <v>281.97000000000003</v>
      </c>
      <c r="DC122">
        <f t="shared" si="36"/>
        <v>289.42</v>
      </c>
      <c r="DD122" t="s">
        <v>3</v>
      </c>
      <c r="DE122" t="s">
        <v>3</v>
      </c>
      <c r="DF122">
        <f t="shared" si="41"/>
        <v>0</v>
      </c>
      <c r="DG122">
        <f>ROUND(ROUND(AF122*AJ122,2)*CX122,2)</f>
        <v>324.13</v>
      </c>
      <c r="DH122">
        <f t="shared" si="39"/>
        <v>274.95</v>
      </c>
      <c r="DI122">
        <f t="shared" si="40"/>
        <v>0</v>
      </c>
      <c r="DJ122">
        <f>DG122+DH122</f>
        <v>599.07999999999993</v>
      </c>
      <c r="DK122">
        <v>0</v>
      </c>
      <c r="DL122" t="s">
        <v>383</v>
      </c>
      <c r="DM122">
        <v>4</v>
      </c>
      <c r="DN122" t="s">
        <v>372</v>
      </c>
      <c r="DO122">
        <v>1</v>
      </c>
    </row>
    <row r="123" spans="1:119" x14ac:dyDescent="0.2">
      <c r="A123">
        <f>ROW(Source!A113)</f>
        <v>113</v>
      </c>
      <c r="B123">
        <v>65178645</v>
      </c>
      <c r="C123">
        <v>65179129</v>
      </c>
      <c r="D123">
        <v>64002594</v>
      </c>
      <c r="E123">
        <v>1</v>
      </c>
      <c r="F123">
        <v>1</v>
      </c>
      <c r="G123">
        <v>1</v>
      </c>
      <c r="H123">
        <v>2</v>
      </c>
      <c r="I123" t="s">
        <v>498</v>
      </c>
      <c r="J123" t="s">
        <v>499</v>
      </c>
      <c r="K123" t="s">
        <v>500</v>
      </c>
      <c r="L123">
        <v>1368</v>
      </c>
      <c r="N123">
        <v>1011</v>
      </c>
      <c r="O123" t="s">
        <v>378</v>
      </c>
      <c r="P123" t="s">
        <v>378</v>
      </c>
      <c r="Q123">
        <v>1</v>
      </c>
      <c r="W123">
        <v>0</v>
      </c>
      <c r="X123">
        <v>1239234272</v>
      </c>
      <c r="Y123">
        <f t="shared" si="31"/>
        <v>0.81</v>
      </c>
      <c r="AA123">
        <v>0</v>
      </c>
      <c r="AB123">
        <v>176.5</v>
      </c>
      <c r="AC123">
        <v>490.55</v>
      </c>
      <c r="AD123">
        <v>0</v>
      </c>
      <c r="AE123">
        <v>0</v>
      </c>
      <c r="AF123">
        <v>176.5</v>
      </c>
      <c r="AG123">
        <v>490.55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0</v>
      </c>
      <c r="AP123">
        <v>1</v>
      </c>
      <c r="AQ123">
        <v>1</v>
      </c>
      <c r="AR123">
        <v>0</v>
      </c>
      <c r="AS123" t="s">
        <v>3</v>
      </c>
      <c r="AT123">
        <v>0.81</v>
      </c>
      <c r="AU123" t="s">
        <v>3</v>
      </c>
      <c r="AV123">
        <v>1</v>
      </c>
      <c r="AW123">
        <v>2</v>
      </c>
      <c r="AX123">
        <v>65179668</v>
      </c>
      <c r="AY123">
        <v>1</v>
      </c>
      <c r="AZ123">
        <v>0</v>
      </c>
      <c r="BA123">
        <v>123</v>
      </c>
      <c r="BB123">
        <v>1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142.965</v>
      </c>
      <c r="BL123">
        <v>397.34550000000002</v>
      </c>
      <c r="BM123">
        <v>0</v>
      </c>
      <c r="BN123">
        <v>0</v>
      </c>
      <c r="BO123">
        <v>0.81</v>
      </c>
      <c r="BP123">
        <v>1</v>
      </c>
      <c r="BQ123">
        <v>0</v>
      </c>
      <c r="BR123">
        <v>142.965</v>
      </c>
      <c r="BS123">
        <v>397.34550000000002</v>
      </c>
      <c r="BT123">
        <v>0</v>
      </c>
      <c r="BU123">
        <v>0</v>
      </c>
      <c r="BV123">
        <v>0.81</v>
      </c>
      <c r="BW123">
        <v>1</v>
      </c>
      <c r="CV123">
        <v>0</v>
      </c>
      <c r="CW123">
        <f>ROUND(Y123*Source!I113*DO123,7)</f>
        <v>0.76949999999999996</v>
      </c>
      <c r="CX123">
        <f>ROUND(Y123*Source!I113,7)</f>
        <v>0.76949999999999996</v>
      </c>
      <c r="CY123">
        <f>AB123</f>
        <v>176.5</v>
      </c>
      <c r="CZ123">
        <f>AF123</f>
        <v>176.5</v>
      </c>
      <c r="DA123">
        <f>AJ123</f>
        <v>1</v>
      </c>
      <c r="DB123">
        <f t="shared" si="35"/>
        <v>142.97</v>
      </c>
      <c r="DC123">
        <f t="shared" si="36"/>
        <v>397.35</v>
      </c>
      <c r="DD123" t="s">
        <v>3</v>
      </c>
      <c r="DE123" t="s">
        <v>3</v>
      </c>
      <c r="DF123">
        <f t="shared" si="41"/>
        <v>0</v>
      </c>
      <c r="DG123">
        <f t="shared" ref="DG123:DG129" si="42">ROUND(ROUND(AF123,2)*CX123,2)</f>
        <v>135.82</v>
      </c>
      <c r="DH123">
        <f t="shared" si="39"/>
        <v>377.48</v>
      </c>
      <c r="DI123">
        <f t="shared" si="40"/>
        <v>0</v>
      </c>
      <c r="DJ123">
        <f>DG123+DH123</f>
        <v>513.29999999999995</v>
      </c>
      <c r="DK123">
        <v>1</v>
      </c>
      <c r="DL123" t="s">
        <v>383</v>
      </c>
      <c r="DM123">
        <v>4</v>
      </c>
      <c r="DN123" t="s">
        <v>372</v>
      </c>
      <c r="DO123">
        <v>1</v>
      </c>
    </row>
    <row r="124" spans="1:119" x14ac:dyDescent="0.2">
      <c r="A124">
        <f>ROW(Source!A113)</f>
        <v>113</v>
      </c>
      <c r="B124">
        <v>65178645</v>
      </c>
      <c r="C124">
        <v>65179129</v>
      </c>
      <c r="D124">
        <v>63888857</v>
      </c>
      <c r="E124">
        <v>112</v>
      </c>
      <c r="F124">
        <v>1</v>
      </c>
      <c r="G124">
        <v>1</v>
      </c>
      <c r="H124">
        <v>3</v>
      </c>
      <c r="I124" t="s">
        <v>501</v>
      </c>
      <c r="J124" t="s">
        <v>3</v>
      </c>
      <c r="K124" t="s">
        <v>502</v>
      </c>
      <c r="L124">
        <v>1371</v>
      </c>
      <c r="N124">
        <v>1013</v>
      </c>
      <c r="O124" t="s">
        <v>77</v>
      </c>
      <c r="P124" t="s">
        <v>77</v>
      </c>
      <c r="Q124">
        <v>1</v>
      </c>
      <c r="W124">
        <v>0</v>
      </c>
      <c r="X124">
        <v>864875641</v>
      </c>
      <c r="Y124">
        <f t="shared" si="31"/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1</v>
      </c>
      <c r="AO124">
        <v>0</v>
      </c>
      <c r="AP124">
        <v>1</v>
      </c>
      <c r="AQ124">
        <v>1</v>
      </c>
      <c r="AR124">
        <v>0</v>
      </c>
      <c r="AS124" t="s">
        <v>3</v>
      </c>
      <c r="AT124">
        <v>0</v>
      </c>
      <c r="AU124" t="s">
        <v>3</v>
      </c>
      <c r="AV124">
        <v>0</v>
      </c>
      <c r="AW124">
        <v>2</v>
      </c>
      <c r="AX124">
        <v>65179669</v>
      </c>
      <c r="AY124">
        <v>1</v>
      </c>
      <c r="AZ124">
        <v>0</v>
      </c>
      <c r="BA124">
        <v>124</v>
      </c>
      <c r="BB124">
        <v>1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ROUND(Y124*Source!I113,7)</f>
        <v>0</v>
      </c>
      <c r="CY124">
        <f>AA124</f>
        <v>0</v>
      </c>
      <c r="CZ124">
        <f>AE124</f>
        <v>0</v>
      </c>
      <c r="DA124">
        <f>AI124</f>
        <v>1</v>
      </c>
      <c r="DB124">
        <f t="shared" si="35"/>
        <v>0</v>
      </c>
      <c r="DC124">
        <f t="shared" si="36"/>
        <v>0</v>
      </c>
      <c r="DD124" t="s">
        <v>3</v>
      </c>
      <c r="DE124" t="s">
        <v>3</v>
      </c>
      <c r="DF124">
        <f t="shared" si="41"/>
        <v>0</v>
      </c>
      <c r="DG124">
        <f t="shared" si="42"/>
        <v>0</v>
      </c>
      <c r="DH124">
        <f t="shared" si="39"/>
        <v>0</v>
      </c>
      <c r="DI124">
        <f t="shared" si="40"/>
        <v>0</v>
      </c>
      <c r="DJ124">
        <f>DF124</f>
        <v>0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ROW(Source!A113)</f>
        <v>113</v>
      </c>
      <c r="B125">
        <v>65178645</v>
      </c>
      <c r="C125">
        <v>65179129</v>
      </c>
      <c r="D125">
        <v>63888865</v>
      </c>
      <c r="E125">
        <v>112</v>
      </c>
      <c r="F125">
        <v>1</v>
      </c>
      <c r="G125">
        <v>1</v>
      </c>
      <c r="H125">
        <v>3</v>
      </c>
      <c r="I125" t="s">
        <v>503</v>
      </c>
      <c r="J125" t="s">
        <v>3</v>
      </c>
      <c r="K125" t="s">
        <v>504</v>
      </c>
      <c r="L125">
        <v>1371</v>
      </c>
      <c r="N125">
        <v>1013</v>
      </c>
      <c r="O125" t="s">
        <v>77</v>
      </c>
      <c r="P125" t="s">
        <v>77</v>
      </c>
      <c r="Q125">
        <v>1</v>
      </c>
      <c r="W125">
        <v>0</v>
      </c>
      <c r="X125">
        <v>-1890832814</v>
      </c>
      <c r="Y125">
        <f t="shared" si="31"/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1</v>
      </c>
      <c r="AO125">
        <v>0</v>
      </c>
      <c r="AP125">
        <v>1</v>
      </c>
      <c r="AQ125">
        <v>1</v>
      </c>
      <c r="AR125">
        <v>0</v>
      </c>
      <c r="AS125" t="s">
        <v>3</v>
      </c>
      <c r="AT125">
        <v>0</v>
      </c>
      <c r="AU125" t="s">
        <v>3</v>
      </c>
      <c r="AV125">
        <v>0</v>
      </c>
      <c r="AW125">
        <v>2</v>
      </c>
      <c r="AX125">
        <v>65179670</v>
      </c>
      <c r="AY125">
        <v>1</v>
      </c>
      <c r="AZ125">
        <v>0</v>
      </c>
      <c r="BA125">
        <v>125</v>
      </c>
      <c r="BB125">
        <v>1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ROUND(Y125*Source!I113,7)</f>
        <v>0</v>
      </c>
      <c r="CY125">
        <f>AA125</f>
        <v>0</v>
      </c>
      <c r="CZ125">
        <f>AE125</f>
        <v>0</v>
      </c>
      <c r="DA125">
        <f>AI125</f>
        <v>1</v>
      </c>
      <c r="DB125">
        <f t="shared" si="35"/>
        <v>0</v>
      </c>
      <c r="DC125">
        <f t="shared" si="36"/>
        <v>0</v>
      </c>
      <c r="DD125" t="s">
        <v>3</v>
      </c>
      <c r="DE125" t="s">
        <v>3</v>
      </c>
      <c r="DF125">
        <f t="shared" si="41"/>
        <v>0</v>
      </c>
      <c r="DG125">
        <f t="shared" si="42"/>
        <v>0</v>
      </c>
      <c r="DH125">
        <f t="shared" si="39"/>
        <v>0</v>
      </c>
      <c r="DI125">
        <f t="shared" si="40"/>
        <v>0</v>
      </c>
      <c r="DJ125">
        <f>DF125</f>
        <v>0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ROW(Source!A113)</f>
        <v>113</v>
      </c>
      <c r="B126">
        <v>65178645</v>
      </c>
      <c r="C126">
        <v>65179129</v>
      </c>
      <c r="D126">
        <v>63889023</v>
      </c>
      <c r="E126">
        <v>112</v>
      </c>
      <c r="F126">
        <v>1</v>
      </c>
      <c r="G126">
        <v>1</v>
      </c>
      <c r="H126">
        <v>3</v>
      </c>
      <c r="I126" t="s">
        <v>505</v>
      </c>
      <c r="J126" t="s">
        <v>3</v>
      </c>
      <c r="K126" t="s">
        <v>506</v>
      </c>
      <c r="L126">
        <v>1477</v>
      </c>
      <c r="N126">
        <v>1013</v>
      </c>
      <c r="O126" t="s">
        <v>156</v>
      </c>
      <c r="P126" t="s">
        <v>158</v>
      </c>
      <c r="Q126">
        <v>1</v>
      </c>
      <c r="W126">
        <v>0</v>
      </c>
      <c r="X126">
        <v>164804165</v>
      </c>
      <c r="Y126">
        <f t="shared" ref="Y126:Y157" si="43">AT126</f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1</v>
      </c>
      <c r="AO126">
        <v>0</v>
      </c>
      <c r="AP126">
        <v>1</v>
      </c>
      <c r="AQ126">
        <v>1</v>
      </c>
      <c r="AR126">
        <v>0</v>
      </c>
      <c r="AS126" t="s">
        <v>3</v>
      </c>
      <c r="AT126">
        <v>0</v>
      </c>
      <c r="AU126" t="s">
        <v>3</v>
      </c>
      <c r="AV126">
        <v>0</v>
      </c>
      <c r="AW126">
        <v>2</v>
      </c>
      <c r="AX126">
        <v>65179671</v>
      </c>
      <c r="AY126">
        <v>1</v>
      </c>
      <c r="AZ126">
        <v>0</v>
      </c>
      <c r="BA126">
        <v>126</v>
      </c>
      <c r="BB126">
        <v>1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ROUND(Y126*Source!I113,7)</f>
        <v>0</v>
      </c>
      <c r="CY126">
        <f>AA126</f>
        <v>0</v>
      </c>
      <c r="CZ126">
        <f>AE126</f>
        <v>0</v>
      </c>
      <c r="DA126">
        <f>AI126</f>
        <v>1</v>
      </c>
      <c r="DB126">
        <f t="shared" ref="DB126:DB157" si="44">ROUND(ROUND(AT126*CZ126,2),6)</f>
        <v>0</v>
      </c>
      <c r="DC126">
        <f t="shared" ref="DC126:DC157" si="45">ROUND(ROUND(AT126*AG126,2),6)</f>
        <v>0</v>
      </c>
      <c r="DD126" t="s">
        <v>3</v>
      </c>
      <c r="DE126" t="s">
        <v>3</v>
      </c>
      <c r="DF126">
        <f t="shared" si="41"/>
        <v>0</v>
      </c>
      <c r="DG126">
        <f t="shared" si="42"/>
        <v>0</v>
      </c>
      <c r="DH126">
        <f t="shared" si="39"/>
        <v>0</v>
      </c>
      <c r="DI126">
        <f t="shared" si="40"/>
        <v>0</v>
      </c>
      <c r="DJ126">
        <f>DF126</f>
        <v>0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ROW(Source!A114)</f>
        <v>114</v>
      </c>
      <c r="B127">
        <v>65178645</v>
      </c>
      <c r="C127">
        <v>65179200</v>
      </c>
      <c r="D127">
        <v>63884158</v>
      </c>
      <c r="E127">
        <v>112</v>
      </c>
      <c r="F127">
        <v>1</v>
      </c>
      <c r="G127">
        <v>1</v>
      </c>
      <c r="H127">
        <v>1</v>
      </c>
      <c r="I127" t="s">
        <v>409</v>
      </c>
      <c r="J127" t="s">
        <v>3</v>
      </c>
      <c r="K127" t="s">
        <v>507</v>
      </c>
      <c r="L127">
        <v>1191</v>
      </c>
      <c r="N127">
        <v>1013</v>
      </c>
      <c r="O127" t="s">
        <v>372</v>
      </c>
      <c r="P127" t="s">
        <v>372</v>
      </c>
      <c r="Q127">
        <v>1</v>
      </c>
      <c r="W127">
        <v>0</v>
      </c>
      <c r="X127">
        <v>888410196</v>
      </c>
      <c r="Y127">
        <f t="shared" si="43"/>
        <v>41.2</v>
      </c>
      <c r="AA127">
        <v>0</v>
      </c>
      <c r="AB127">
        <v>0</v>
      </c>
      <c r="AC127">
        <v>0</v>
      </c>
      <c r="AD127">
        <v>490.55</v>
      </c>
      <c r="AE127">
        <v>0</v>
      </c>
      <c r="AF127">
        <v>0</v>
      </c>
      <c r="AG127">
        <v>0</v>
      </c>
      <c r="AH127">
        <v>490.55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0</v>
      </c>
      <c r="AP127">
        <v>1</v>
      </c>
      <c r="AQ127">
        <v>1</v>
      </c>
      <c r="AR127">
        <v>0</v>
      </c>
      <c r="AS127" t="s">
        <v>3</v>
      </c>
      <c r="AT127">
        <v>41.2</v>
      </c>
      <c r="AU127" t="s">
        <v>3</v>
      </c>
      <c r="AV127">
        <v>1</v>
      </c>
      <c r="AW127">
        <v>2</v>
      </c>
      <c r="AX127">
        <v>65179620</v>
      </c>
      <c r="AY127">
        <v>1</v>
      </c>
      <c r="AZ127">
        <v>0</v>
      </c>
      <c r="BA127">
        <v>127</v>
      </c>
      <c r="BB127">
        <v>1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20210.660000000003</v>
      </c>
      <c r="BN127">
        <v>41.2</v>
      </c>
      <c r="BO127">
        <v>0</v>
      </c>
      <c r="BP127">
        <v>1</v>
      </c>
      <c r="BQ127">
        <v>0</v>
      </c>
      <c r="BR127">
        <v>0</v>
      </c>
      <c r="BS127">
        <v>0</v>
      </c>
      <c r="BT127">
        <v>20210.660000000003</v>
      </c>
      <c r="BU127">
        <v>41.2</v>
      </c>
      <c r="BV127">
        <v>0</v>
      </c>
      <c r="BW127">
        <v>1</v>
      </c>
      <c r="CU127">
        <f>ROUND(AT127*Source!I114*AH127*AL127,2)</f>
        <v>49314.01</v>
      </c>
      <c r="CV127">
        <f>ROUND(Y127*Source!I114,7)</f>
        <v>100.52800000000001</v>
      </c>
      <c r="CW127">
        <v>0</v>
      </c>
      <c r="CX127">
        <f>ROUND(Y127*Source!I114,7)</f>
        <v>100.52800000000001</v>
      </c>
      <c r="CY127">
        <f>AD127</f>
        <v>490.55</v>
      </c>
      <c r="CZ127">
        <f>AH127</f>
        <v>490.55</v>
      </c>
      <c r="DA127">
        <f>AL127</f>
        <v>1</v>
      </c>
      <c r="DB127">
        <f t="shared" si="44"/>
        <v>20210.66</v>
      </c>
      <c r="DC127">
        <f t="shared" si="45"/>
        <v>0</v>
      </c>
      <c r="DD127" t="s">
        <v>3</v>
      </c>
      <c r="DE127" t="s">
        <v>3</v>
      </c>
      <c r="DF127">
        <f t="shared" si="41"/>
        <v>0</v>
      </c>
      <c r="DG127">
        <f t="shared" si="42"/>
        <v>0</v>
      </c>
      <c r="DH127">
        <f t="shared" si="39"/>
        <v>0</v>
      </c>
      <c r="DI127">
        <f t="shared" si="40"/>
        <v>49314.01</v>
      </c>
      <c r="DJ127">
        <f>DI127</f>
        <v>49314.01</v>
      </c>
      <c r="DK127">
        <v>1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ROW(Source!A114)</f>
        <v>114</v>
      </c>
      <c r="B128">
        <v>65178645</v>
      </c>
      <c r="C128">
        <v>65179200</v>
      </c>
      <c r="D128">
        <v>63884368</v>
      </c>
      <c r="E128">
        <v>112</v>
      </c>
      <c r="F128">
        <v>1</v>
      </c>
      <c r="G128">
        <v>1</v>
      </c>
      <c r="H128">
        <v>1</v>
      </c>
      <c r="I128" t="s">
        <v>373</v>
      </c>
      <c r="J128" t="s">
        <v>3</v>
      </c>
      <c r="K128" t="s">
        <v>374</v>
      </c>
      <c r="L128">
        <v>1191</v>
      </c>
      <c r="N128">
        <v>1013</v>
      </c>
      <c r="O128" t="s">
        <v>372</v>
      </c>
      <c r="P128" t="s">
        <v>372</v>
      </c>
      <c r="Q128">
        <v>1</v>
      </c>
      <c r="W128">
        <v>0</v>
      </c>
      <c r="X128">
        <v>-1417349443</v>
      </c>
      <c r="Y128">
        <f t="shared" si="43"/>
        <v>0.2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0</v>
      </c>
      <c r="AP128">
        <v>1</v>
      </c>
      <c r="AQ128">
        <v>1</v>
      </c>
      <c r="AR128">
        <v>0</v>
      </c>
      <c r="AS128" t="s">
        <v>3</v>
      </c>
      <c r="AT128">
        <v>0.2</v>
      </c>
      <c r="AU128" t="s">
        <v>3</v>
      </c>
      <c r="AV128">
        <v>2</v>
      </c>
      <c r="AW128">
        <v>2</v>
      </c>
      <c r="AX128">
        <v>65179621</v>
      </c>
      <c r="AY128">
        <v>1</v>
      </c>
      <c r="AZ128">
        <v>0</v>
      </c>
      <c r="BA128">
        <v>128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ROUND(Y128*Source!I114,7)</f>
        <v>0.48799999999999999</v>
      </c>
      <c r="CY128">
        <f>AD128</f>
        <v>0</v>
      </c>
      <c r="CZ128">
        <f>AH128</f>
        <v>0</v>
      </c>
      <c r="DA128">
        <f>AL128</f>
        <v>1</v>
      </c>
      <c r="DB128">
        <f t="shared" si="44"/>
        <v>0</v>
      </c>
      <c r="DC128">
        <f t="shared" si="45"/>
        <v>0</v>
      </c>
      <c r="DD128" t="s">
        <v>3</v>
      </c>
      <c r="DE128" t="s">
        <v>3</v>
      </c>
      <c r="DF128">
        <f t="shared" si="41"/>
        <v>0</v>
      </c>
      <c r="DG128">
        <f t="shared" si="42"/>
        <v>0</v>
      </c>
      <c r="DH128">
        <f t="shared" si="39"/>
        <v>0</v>
      </c>
      <c r="DI128">
        <f t="shared" si="40"/>
        <v>0</v>
      </c>
      <c r="DJ128">
        <f>DI128</f>
        <v>0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ROW(Source!A114)</f>
        <v>114</v>
      </c>
      <c r="B129">
        <v>65178645</v>
      </c>
      <c r="C129">
        <v>65179200</v>
      </c>
      <c r="D129">
        <v>64001515</v>
      </c>
      <c r="E129">
        <v>1</v>
      </c>
      <c r="F129">
        <v>1</v>
      </c>
      <c r="G129">
        <v>1</v>
      </c>
      <c r="H129">
        <v>2</v>
      </c>
      <c r="I129" t="s">
        <v>386</v>
      </c>
      <c r="J129" t="s">
        <v>387</v>
      </c>
      <c r="K129" t="s">
        <v>388</v>
      </c>
      <c r="L129">
        <v>1368</v>
      </c>
      <c r="N129">
        <v>1011</v>
      </c>
      <c r="O129" t="s">
        <v>378</v>
      </c>
      <c r="P129" t="s">
        <v>378</v>
      </c>
      <c r="Q129">
        <v>1</v>
      </c>
      <c r="W129">
        <v>0</v>
      </c>
      <c r="X129">
        <v>-613270886</v>
      </c>
      <c r="Y129">
        <f t="shared" si="43"/>
        <v>0.1</v>
      </c>
      <c r="AA129">
        <v>0</v>
      </c>
      <c r="AB129">
        <v>1551.19</v>
      </c>
      <c r="AC129">
        <v>658.94</v>
      </c>
      <c r="AD129">
        <v>0</v>
      </c>
      <c r="AE129">
        <v>0</v>
      </c>
      <c r="AF129">
        <v>1551.19</v>
      </c>
      <c r="AG129">
        <v>658.94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0</v>
      </c>
      <c r="AP129">
        <v>1</v>
      </c>
      <c r="AQ129">
        <v>1</v>
      </c>
      <c r="AR129">
        <v>0</v>
      </c>
      <c r="AS129" t="s">
        <v>3</v>
      </c>
      <c r="AT129">
        <v>0.1</v>
      </c>
      <c r="AU129" t="s">
        <v>3</v>
      </c>
      <c r="AV129">
        <v>1</v>
      </c>
      <c r="AW129">
        <v>2</v>
      </c>
      <c r="AX129">
        <v>65179622</v>
      </c>
      <c r="AY129">
        <v>1</v>
      </c>
      <c r="AZ129">
        <v>0</v>
      </c>
      <c r="BA129">
        <v>129</v>
      </c>
      <c r="BB129">
        <v>1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155.11900000000003</v>
      </c>
      <c r="BL129">
        <v>65.894000000000005</v>
      </c>
      <c r="BM129">
        <v>0</v>
      </c>
      <c r="BN129">
        <v>0</v>
      </c>
      <c r="BO129">
        <v>0.1</v>
      </c>
      <c r="BP129">
        <v>1</v>
      </c>
      <c r="BQ129">
        <v>0</v>
      </c>
      <c r="BR129">
        <v>155.11900000000003</v>
      </c>
      <c r="BS129">
        <v>65.894000000000005</v>
      </c>
      <c r="BT129">
        <v>0</v>
      </c>
      <c r="BU129">
        <v>0</v>
      </c>
      <c r="BV129">
        <v>0.1</v>
      </c>
      <c r="BW129">
        <v>1</v>
      </c>
      <c r="CV129">
        <v>0</v>
      </c>
      <c r="CW129">
        <f>ROUND(Y129*Source!I114*DO129,7)</f>
        <v>0.24399999999999999</v>
      </c>
      <c r="CX129">
        <f>ROUND(Y129*Source!I114,7)</f>
        <v>0.24399999999999999</v>
      </c>
      <c r="CY129">
        <f>AB129</f>
        <v>1551.19</v>
      </c>
      <c r="CZ129">
        <f>AF129</f>
        <v>1551.19</v>
      </c>
      <c r="DA129">
        <f>AJ129</f>
        <v>1</v>
      </c>
      <c r="DB129">
        <f t="shared" si="44"/>
        <v>155.12</v>
      </c>
      <c r="DC129">
        <f t="shared" si="45"/>
        <v>65.89</v>
      </c>
      <c r="DD129" t="s">
        <v>3</v>
      </c>
      <c r="DE129" t="s">
        <v>3</v>
      </c>
      <c r="DF129">
        <f t="shared" si="41"/>
        <v>0</v>
      </c>
      <c r="DG129">
        <f t="shared" si="42"/>
        <v>378.49</v>
      </c>
      <c r="DH129">
        <f t="shared" ref="DH129:DH160" si="46">ROUND(ROUND(AG129,2)*CX129,2)</f>
        <v>160.78</v>
      </c>
      <c r="DI129">
        <f t="shared" ref="DI129:DI160" si="47">ROUND(ROUND(AH129,2)*CX129,2)</f>
        <v>0</v>
      </c>
      <c r="DJ129">
        <f>DG129+DH129</f>
        <v>539.27</v>
      </c>
      <c r="DK129">
        <v>1</v>
      </c>
      <c r="DL129" t="s">
        <v>389</v>
      </c>
      <c r="DM129">
        <v>6</v>
      </c>
      <c r="DN129" t="s">
        <v>372</v>
      </c>
      <c r="DO129">
        <v>1</v>
      </c>
    </row>
    <row r="130" spans="1:119" x14ac:dyDescent="0.2">
      <c r="A130">
        <f>ROW(Source!A114)</f>
        <v>114</v>
      </c>
      <c r="B130">
        <v>65178645</v>
      </c>
      <c r="C130">
        <v>65179200</v>
      </c>
      <c r="D130">
        <v>64002400</v>
      </c>
      <c r="E130">
        <v>1</v>
      </c>
      <c r="F130">
        <v>1</v>
      </c>
      <c r="G130">
        <v>1</v>
      </c>
      <c r="H130">
        <v>2</v>
      </c>
      <c r="I130" t="s">
        <v>380</v>
      </c>
      <c r="J130" t="s">
        <v>381</v>
      </c>
      <c r="K130" t="s">
        <v>382</v>
      </c>
      <c r="L130">
        <v>1368</v>
      </c>
      <c r="N130">
        <v>1011</v>
      </c>
      <c r="O130" t="s">
        <v>378</v>
      </c>
      <c r="P130" t="s">
        <v>378</v>
      </c>
      <c r="Q130">
        <v>1</v>
      </c>
      <c r="W130">
        <v>0</v>
      </c>
      <c r="X130">
        <v>1032761012</v>
      </c>
      <c r="Y130">
        <f t="shared" si="43"/>
        <v>0.1</v>
      </c>
      <c r="AA130">
        <v>0</v>
      </c>
      <c r="AB130">
        <v>578.28</v>
      </c>
      <c r="AC130">
        <v>490.55</v>
      </c>
      <c r="AD130">
        <v>0</v>
      </c>
      <c r="AE130">
        <v>0</v>
      </c>
      <c r="AF130">
        <v>477.92</v>
      </c>
      <c r="AG130">
        <v>490.55</v>
      </c>
      <c r="AH130">
        <v>0</v>
      </c>
      <c r="AI130">
        <v>1</v>
      </c>
      <c r="AJ130">
        <v>1.21</v>
      </c>
      <c r="AK130">
        <v>1</v>
      </c>
      <c r="AL130">
        <v>1</v>
      </c>
      <c r="AM130">
        <v>2</v>
      </c>
      <c r="AN130">
        <v>0</v>
      </c>
      <c r="AO130">
        <v>0</v>
      </c>
      <c r="AP130">
        <v>1</v>
      </c>
      <c r="AQ130">
        <v>1</v>
      </c>
      <c r="AR130">
        <v>0</v>
      </c>
      <c r="AS130" t="s">
        <v>3</v>
      </c>
      <c r="AT130">
        <v>0.1</v>
      </c>
      <c r="AU130" t="s">
        <v>3</v>
      </c>
      <c r="AV130">
        <v>1</v>
      </c>
      <c r="AW130">
        <v>2</v>
      </c>
      <c r="AX130">
        <v>65179623</v>
      </c>
      <c r="AY130">
        <v>1</v>
      </c>
      <c r="AZ130">
        <v>0</v>
      </c>
      <c r="BA130">
        <v>130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47.792000000000002</v>
      </c>
      <c r="BL130">
        <v>49.055000000000007</v>
      </c>
      <c r="BM130">
        <v>0</v>
      </c>
      <c r="BN130">
        <v>0</v>
      </c>
      <c r="BO130">
        <v>0.1</v>
      </c>
      <c r="BP130">
        <v>1</v>
      </c>
      <c r="BQ130">
        <v>0</v>
      </c>
      <c r="BR130">
        <v>47.792000000000002</v>
      </c>
      <c r="BS130">
        <v>49.055000000000007</v>
      </c>
      <c r="BT130">
        <v>0</v>
      </c>
      <c r="BU130">
        <v>0</v>
      </c>
      <c r="BV130">
        <v>0.1</v>
      </c>
      <c r="BW130">
        <v>1</v>
      </c>
      <c r="CV130">
        <v>0</v>
      </c>
      <c r="CW130">
        <f>ROUND(Y130*Source!I114*DO130,7)</f>
        <v>0.24399999999999999</v>
      </c>
      <c r="CX130">
        <f>ROUND(Y130*Source!I114,7)</f>
        <v>0.24399999999999999</v>
      </c>
      <c r="CY130">
        <f>AB130</f>
        <v>578.28</v>
      </c>
      <c r="CZ130">
        <f>AF130</f>
        <v>477.92</v>
      </c>
      <c r="DA130">
        <f>AJ130</f>
        <v>1.21</v>
      </c>
      <c r="DB130">
        <f t="shared" si="44"/>
        <v>47.79</v>
      </c>
      <c r="DC130">
        <f t="shared" si="45"/>
        <v>49.06</v>
      </c>
      <c r="DD130" t="s">
        <v>3</v>
      </c>
      <c r="DE130" t="s">
        <v>3</v>
      </c>
      <c r="DF130">
        <f t="shared" si="41"/>
        <v>0</v>
      </c>
      <c r="DG130">
        <f>ROUND(ROUND(AF130*AJ130,2)*CX130,2)</f>
        <v>141.1</v>
      </c>
      <c r="DH130">
        <f t="shared" si="46"/>
        <v>119.69</v>
      </c>
      <c r="DI130">
        <f t="shared" si="47"/>
        <v>0</v>
      </c>
      <c r="DJ130">
        <f>DG130+DH130</f>
        <v>260.78999999999996</v>
      </c>
      <c r="DK130">
        <v>0</v>
      </c>
      <c r="DL130" t="s">
        <v>383</v>
      </c>
      <c r="DM130">
        <v>4</v>
      </c>
      <c r="DN130" t="s">
        <v>372</v>
      </c>
      <c r="DO130">
        <v>1</v>
      </c>
    </row>
    <row r="131" spans="1:119" x14ac:dyDescent="0.2">
      <c r="A131">
        <f>ROW(Source!A114)</f>
        <v>114</v>
      </c>
      <c r="B131">
        <v>65178645</v>
      </c>
      <c r="C131">
        <v>65179200</v>
      </c>
      <c r="D131">
        <v>64002592</v>
      </c>
      <c r="E131">
        <v>1</v>
      </c>
      <c r="F131">
        <v>1</v>
      </c>
      <c r="G131">
        <v>1</v>
      </c>
      <c r="H131">
        <v>2</v>
      </c>
      <c r="I131" t="s">
        <v>435</v>
      </c>
      <c r="J131" t="s">
        <v>436</v>
      </c>
      <c r="K131" t="s">
        <v>437</v>
      </c>
      <c r="L131">
        <v>1368</v>
      </c>
      <c r="N131">
        <v>1011</v>
      </c>
      <c r="O131" t="s">
        <v>378</v>
      </c>
      <c r="P131" t="s">
        <v>378</v>
      </c>
      <c r="Q131">
        <v>1</v>
      </c>
      <c r="W131">
        <v>0</v>
      </c>
      <c r="X131">
        <v>646454608</v>
      </c>
      <c r="Y131">
        <f t="shared" si="43"/>
        <v>0.16</v>
      </c>
      <c r="AA131">
        <v>0</v>
      </c>
      <c r="AB131">
        <v>26.32</v>
      </c>
      <c r="AC131">
        <v>0</v>
      </c>
      <c r="AD131">
        <v>0</v>
      </c>
      <c r="AE131">
        <v>0</v>
      </c>
      <c r="AF131">
        <v>26.32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0</v>
      </c>
      <c r="AP131">
        <v>1</v>
      </c>
      <c r="AQ131">
        <v>1</v>
      </c>
      <c r="AR131">
        <v>0</v>
      </c>
      <c r="AS131" t="s">
        <v>3</v>
      </c>
      <c r="AT131">
        <v>0.16</v>
      </c>
      <c r="AU131" t="s">
        <v>3</v>
      </c>
      <c r="AV131">
        <v>1</v>
      </c>
      <c r="AW131">
        <v>2</v>
      </c>
      <c r="AX131">
        <v>65179624</v>
      </c>
      <c r="AY131">
        <v>1</v>
      </c>
      <c r="AZ131">
        <v>0</v>
      </c>
      <c r="BA131">
        <v>131</v>
      </c>
      <c r="BB131">
        <v>1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4.2111999999999998</v>
      </c>
      <c r="BL131">
        <v>0</v>
      </c>
      <c r="BM131">
        <v>0</v>
      </c>
      <c r="BN131">
        <v>0</v>
      </c>
      <c r="BO131">
        <v>0</v>
      </c>
      <c r="BP131">
        <v>1</v>
      </c>
      <c r="BQ131">
        <v>0</v>
      </c>
      <c r="BR131">
        <v>4.2111999999999998</v>
      </c>
      <c r="BS131">
        <v>0</v>
      </c>
      <c r="BT131">
        <v>0</v>
      </c>
      <c r="BU131">
        <v>0</v>
      </c>
      <c r="BV131">
        <v>0</v>
      </c>
      <c r="BW131">
        <v>1</v>
      </c>
      <c r="CV131">
        <v>0</v>
      </c>
      <c r="CW131">
        <f>ROUND(Y131*Source!I114*DO131,7)</f>
        <v>0</v>
      </c>
      <c r="CX131">
        <f>ROUND(Y131*Source!I114,7)</f>
        <v>0.39040000000000002</v>
      </c>
      <c r="CY131">
        <f>AB131</f>
        <v>26.32</v>
      </c>
      <c r="CZ131">
        <f>AF131</f>
        <v>26.32</v>
      </c>
      <c r="DA131">
        <f>AJ131</f>
        <v>1</v>
      </c>
      <c r="DB131">
        <f t="shared" si="44"/>
        <v>4.21</v>
      </c>
      <c r="DC131">
        <f t="shared" si="45"/>
        <v>0</v>
      </c>
      <c r="DD131" t="s">
        <v>3</v>
      </c>
      <c r="DE131" t="s">
        <v>3</v>
      </c>
      <c r="DF131">
        <f t="shared" si="41"/>
        <v>0</v>
      </c>
      <c r="DG131">
        <f t="shared" ref="DG131:DG137" si="48">ROUND(ROUND(AF131,2)*CX131,2)</f>
        <v>10.28</v>
      </c>
      <c r="DH131">
        <f t="shared" si="46"/>
        <v>0</v>
      </c>
      <c r="DI131">
        <f t="shared" si="47"/>
        <v>0</v>
      </c>
      <c r="DJ131">
        <f>DG131+DH131</f>
        <v>10.28</v>
      </c>
      <c r="DK131">
        <v>1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ROW(Source!A114)</f>
        <v>114</v>
      </c>
      <c r="B132">
        <v>65178645</v>
      </c>
      <c r="C132">
        <v>65179200</v>
      </c>
      <c r="D132">
        <v>63963082</v>
      </c>
      <c r="E132">
        <v>1</v>
      </c>
      <c r="F132">
        <v>1</v>
      </c>
      <c r="G132">
        <v>1</v>
      </c>
      <c r="H132">
        <v>3</v>
      </c>
      <c r="I132" t="s">
        <v>508</v>
      </c>
      <c r="J132" t="s">
        <v>509</v>
      </c>
      <c r="K132" t="s">
        <v>510</v>
      </c>
      <c r="L132">
        <v>1348</v>
      </c>
      <c r="N132">
        <v>1009</v>
      </c>
      <c r="O132" t="s">
        <v>244</v>
      </c>
      <c r="P132" t="s">
        <v>244</v>
      </c>
      <c r="Q132">
        <v>1000</v>
      </c>
      <c r="W132">
        <v>0</v>
      </c>
      <c r="X132">
        <v>-1211909456</v>
      </c>
      <c r="Y132">
        <f t="shared" si="43"/>
        <v>3.0000000000000001E-3</v>
      </c>
      <c r="AA132">
        <v>61873.2</v>
      </c>
      <c r="AB132">
        <v>0</v>
      </c>
      <c r="AC132">
        <v>0</v>
      </c>
      <c r="AD132">
        <v>0</v>
      </c>
      <c r="AE132">
        <v>70310.45</v>
      </c>
      <c r="AF132">
        <v>0</v>
      </c>
      <c r="AG132">
        <v>0</v>
      </c>
      <c r="AH132">
        <v>0</v>
      </c>
      <c r="AI132">
        <v>0.88</v>
      </c>
      <c r="AJ132">
        <v>1</v>
      </c>
      <c r="AK132">
        <v>1</v>
      </c>
      <c r="AL132">
        <v>1</v>
      </c>
      <c r="AM132">
        <v>2</v>
      </c>
      <c r="AN132">
        <v>0</v>
      </c>
      <c r="AO132">
        <v>0</v>
      </c>
      <c r="AP132">
        <v>1</v>
      </c>
      <c r="AQ132">
        <v>1</v>
      </c>
      <c r="AR132">
        <v>0</v>
      </c>
      <c r="AS132" t="s">
        <v>3</v>
      </c>
      <c r="AT132">
        <v>3.0000000000000001E-3</v>
      </c>
      <c r="AU132" t="s">
        <v>3</v>
      </c>
      <c r="AV132">
        <v>0</v>
      </c>
      <c r="AW132">
        <v>2</v>
      </c>
      <c r="AX132">
        <v>65179625</v>
      </c>
      <c r="AY132">
        <v>1</v>
      </c>
      <c r="AZ132">
        <v>0</v>
      </c>
      <c r="BA132">
        <v>132</v>
      </c>
      <c r="BB132">
        <v>1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210.93135000000001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1</v>
      </c>
      <c r="BQ132">
        <v>210.93135000000001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1</v>
      </c>
      <c r="CV132">
        <v>0</v>
      </c>
      <c r="CW132">
        <v>0</v>
      </c>
      <c r="CX132">
        <f>ROUND(Y132*Source!I114,7)</f>
        <v>7.3200000000000001E-3</v>
      </c>
      <c r="CY132">
        <f>AA132</f>
        <v>61873.2</v>
      </c>
      <c r="CZ132">
        <f>AE132</f>
        <v>70310.45</v>
      </c>
      <c r="DA132">
        <f>AI132</f>
        <v>0.88</v>
      </c>
      <c r="DB132">
        <f t="shared" si="44"/>
        <v>210.93</v>
      </c>
      <c r="DC132">
        <f t="shared" si="45"/>
        <v>0</v>
      </c>
      <c r="DD132" t="s">
        <v>3</v>
      </c>
      <c r="DE132" t="s">
        <v>3</v>
      </c>
      <c r="DF132">
        <f>ROUND(ROUND(AE132*AI132,2)*CX132,2)</f>
        <v>452.91</v>
      </c>
      <c r="DG132">
        <f t="shared" si="48"/>
        <v>0</v>
      </c>
      <c r="DH132">
        <f t="shared" si="46"/>
        <v>0</v>
      </c>
      <c r="DI132">
        <f t="shared" si="47"/>
        <v>0</v>
      </c>
      <c r="DJ132">
        <f>DF132</f>
        <v>452.91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ROW(Source!A114)</f>
        <v>114</v>
      </c>
      <c r="B133">
        <v>65178645</v>
      </c>
      <c r="C133">
        <v>65179200</v>
      </c>
      <c r="D133">
        <v>63972631</v>
      </c>
      <c r="E133">
        <v>1</v>
      </c>
      <c r="F133">
        <v>1</v>
      </c>
      <c r="G133">
        <v>1</v>
      </c>
      <c r="H133">
        <v>3</v>
      </c>
      <c r="I133" t="s">
        <v>423</v>
      </c>
      <c r="J133" t="s">
        <v>424</v>
      </c>
      <c r="K133" t="s">
        <v>425</v>
      </c>
      <c r="L133">
        <v>1346</v>
      </c>
      <c r="N133">
        <v>1009</v>
      </c>
      <c r="O133" t="s">
        <v>253</v>
      </c>
      <c r="P133" t="s">
        <v>253</v>
      </c>
      <c r="Q133">
        <v>1</v>
      </c>
      <c r="W133">
        <v>0</v>
      </c>
      <c r="X133">
        <v>466552771</v>
      </c>
      <c r="Y133">
        <f t="shared" si="43"/>
        <v>0.8</v>
      </c>
      <c r="AA133">
        <v>104.64</v>
      </c>
      <c r="AB133">
        <v>0</v>
      </c>
      <c r="AC133">
        <v>0</v>
      </c>
      <c r="AD133">
        <v>0</v>
      </c>
      <c r="AE133">
        <v>79.88</v>
      </c>
      <c r="AF133">
        <v>0</v>
      </c>
      <c r="AG133">
        <v>0</v>
      </c>
      <c r="AH133">
        <v>0</v>
      </c>
      <c r="AI133">
        <v>1.31</v>
      </c>
      <c r="AJ133">
        <v>1</v>
      </c>
      <c r="AK133">
        <v>1</v>
      </c>
      <c r="AL133">
        <v>1</v>
      </c>
      <c r="AM133">
        <v>2</v>
      </c>
      <c r="AN133">
        <v>0</v>
      </c>
      <c r="AO133">
        <v>0</v>
      </c>
      <c r="AP133">
        <v>1</v>
      </c>
      <c r="AQ133">
        <v>1</v>
      </c>
      <c r="AR133">
        <v>0</v>
      </c>
      <c r="AS133" t="s">
        <v>3</v>
      </c>
      <c r="AT133">
        <v>0.8</v>
      </c>
      <c r="AU133" t="s">
        <v>3</v>
      </c>
      <c r="AV133">
        <v>0</v>
      </c>
      <c r="AW133">
        <v>2</v>
      </c>
      <c r="AX133">
        <v>65179626</v>
      </c>
      <c r="AY133">
        <v>1</v>
      </c>
      <c r="AZ133">
        <v>0</v>
      </c>
      <c r="BA133">
        <v>133</v>
      </c>
      <c r="BB133">
        <v>1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63.903999999999996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1</v>
      </c>
      <c r="BQ133">
        <v>63.903999999999996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1</v>
      </c>
      <c r="CV133">
        <v>0</v>
      </c>
      <c r="CW133">
        <v>0</v>
      </c>
      <c r="CX133">
        <f>ROUND(Y133*Source!I114,7)</f>
        <v>1.952</v>
      </c>
      <c r="CY133">
        <f>AA133</f>
        <v>104.64</v>
      </c>
      <c r="CZ133">
        <f>AE133</f>
        <v>79.88</v>
      </c>
      <c r="DA133">
        <f>AI133</f>
        <v>1.31</v>
      </c>
      <c r="DB133">
        <f t="shared" si="44"/>
        <v>63.9</v>
      </c>
      <c r="DC133">
        <f t="shared" si="45"/>
        <v>0</v>
      </c>
      <c r="DD133" t="s">
        <v>3</v>
      </c>
      <c r="DE133" t="s">
        <v>3</v>
      </c>
      <c r="DF133">
        <f>ROUND(ROUND(AE133*AI133,2)*CX133,2)</f>
        <v>204.26</v>
      </c>
      <c r="DG133">
        <f t="shared" si="48"/>
        <v>0</v>
      </c>
      <c r="DH133">
        <f t="shared" si="46"/>
        <v>0</v>
      </c>
      <c r="DI133">
        <f t="shared" si="47"/>
        <v>0</v>
      </c>
      <c r="DJ133">
        <f>DF133</f>
        <v>204.26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ROW(Source!A114)</f>
        <v>114</v>
      </c>
      <c r="B134">
        <v>65178645</v>
      </c>
      <c r="C134">
        <v>65179200</v>
      </c>
      <c r="D134">
        <v>63983065</v>
      </c>
      <c r="E134">
        <v>1</v>
      </c>
      <c r="F134">
        <v>1</v>
      </c>
      <c r="G134">
        <v>1</v>
      </c>
      <c r="H134">
        <v>3</v>
      </c>
      <c r="I134" t="s">
        <v>511</v>
      </c>
      <c r="J134" t="s">
        <v>512</v>
      </c>
      <c r="K134" t="s">
        <v>513</v>
      </c>
      <c r="L134">
        <v>1425</v>
      </c>
      <c r="N134">
        <v>1013</v>
      </c>
      <c r="O134" t="s">
        <v>162</v>
      </c>
      <c r="P134" t="s">
        <v>162</v>
      </c>
      <c r="Q134">
        <v>1</v>
      </c>
      <c r="W134">
        <v>0</v>
      </c>
      <c r="X134">
        <v>1397047167</v>
      </c>
      <c r="Y134">
        <f t="shared" si="43"/>
        <v>1.02</v>
      </c>
      <c r="AA134">
        <v>959.27</v>
      </c>
      <c r="AB134">
        <v>0</v>
      </c>
      <c r="AC134">
        <v>0</v>
      </c>
      <c r="AD134">
        <v>0</v>
      </c>
      <c r="AE134">
        <v>896.51</v>
      </c>
      <c r="AF134">
        <v>0</v>
      </c>
      <c r="AG134">
        <v>0</v>
      </c>
      <c r="AH134">
        <v>0</v>
      </c>
      <c r="AI134">
        <v>1.07</v>
      </c>
      <c r="AJ134">
        <v>1</v>
      </c>
      <c r="AK134">
        <v>1</v>
      </c>
      <c r="AL134">
        <v>1</v>
      </c>
      <c r="AM134">
        <v>2</v>
      </c>
      <c r="AN134">
        <v>0</v>
      </c>
      <c r="AO134">
        <v>0</v>
      </c>
      <c r="AP134">
        <v>1</v>
      </c>
      <c r="AQ134">
        <v>1</v>
      </c>
      <c r="AR134">
        <v>0</v>
      </c>
      <c r="AS134" t="s">
        <v>3</v>
      </c>
      <c r="AT134">
        <v>1.02</v>
      </c>
      <c r="AU134" t="s">
        <v>3</v>
      </c>
      <c r="AV134">
        <v>0</v>
      </c>
      <c r="AW134">
        <v>2</v>
      </c>
      <c r="AX134">
        <v>65179627</v>
      </c>
      <c r="AY134">
        <v>1</v>
      </c>
      <c r="AZ134">
        <v>0</v>
      </c>
      <c r="BA134">
        <v>134</v>
      </c>
      <c r="BB134">
        <v>1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914.4402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1</v>
      </c>
      <c r="BQ134">
        <v>914.4402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1</v>
      </c>
      <c r="CV134">
        <v>0</v>
      </c>
      <c r="CW134">
        <v>0</v>
      </c>
      <c r="CX134">
        <f>ROUND(Y134*Source!I114,7)</f>
        <v>2.4887999999999999</v>
      </c>
      <c r="CY134">
        <f>AA134</f>
        <v>959.27</v>
      </c>
      <c r="CZ134">
        <f>AE134</f>
        <v>896.51</v>
      </c>
      <c r="DA134">
        <f>AI134</f>
        <v>1.07</v>
      </c>
      <c r="DB134">
        <f t="shared" si="44"/>
        <v>914.44</v>
      </c>
      <c r="DC134">
        <f t="shared" si="45"/>
        <v>0</v>
      </c>
      <c r="DD134" t="s">
        <v>3</v>
      </c>
      <c r="DE134" t="s">
        <v>3</v>
      </c>
      <c r="DF134">
        <f>ROUND(ROUND(AE134*AI134,2)*CX134,2)</f>
        <v>2387.4299999999998</v>
      </c>
      <c r="DG134">
        <f t="shared" si="48"/>
        <v>0</v>
      </c>
      <c r="DH134">
        <f t="shared" si="46"/>
        <v>0</v>
      </c>
      <c r="DI134">
        <f t="shared" si="47"/>
        <v>0</v>
      </c>
      <c r="DJ134">
        <f>DF134</f>
        <v>2387.4299999999998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ROW(Source!A114)</f>
        <v>114</v>
      </c>
      <c r="B135">
        <v>65178645</v>
      </c>
      <c r="C135">
        <v>65179200</v>
      </c>
      <c r="D135">
        <v>63889959</v>
      </c>
      <c r="E135">
        <v>112</v>
      </c>
      <c r="F135">
        <v>1</v>
      </c>
      <c r="G135">
        <v>1</v>
      </c>
      <c r="H135">
        <v>3</v>
      </c>
      <c r="I135" t="s">
        <v>406</v>
      </c>
      <c r="J135" t="s">
        <v>3</v>
      </c>
      <c r="K135" t="s">
        <v>407</v>
      </c>
      <c r="L135">
        <v>3277935</v>
      </c>
      <c r="N135">
        <v>1013</v>
      </c>
      <c r="O135" t="s">
        <v>408</v>
      </c>
      <c r="P135" t="s">
        <v>408</v>
      </c>
      <c r="Q135">
        <v>1</v>
      </c>
      <c r="W135">
        <v>0</v>
      </c>
      <c r="X135">
        <v>274903907</v>
      </c>
      <c r="Y135">
        <f t="shared" si="43"/>
        <v>2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0</v>
      </c>
      <c r="AQ135">
        <v>1</v>
      </c>
      <c r="AR135">
        <v>0</v>
      </c>
      <c r="AS135" t="s">
        <v>3</v>
      </c>
      <c r="AT135">
        <v>2</v>
      </c>
      <c r="AU135" t="s">
        <v>3</v>
      </c>
      <c r="AV135">
        <v>0</v>
      </c>
      <c r="AW135">
        <v>2</v>
      </c>
      <c r="AX135">
        <v>65179628</v>
      </c>
      <c r="AY135">
        <v>1</v>
      </c>
      <c r="AZ135">
        <v>0</v>
      </c>
      <c r="BA135">
        <v>135</v>
      </c>
      <c r="BB135">
        <v>1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V135">
        <v>0</v>
      </c>
      <c r="CW135">
        <v>0</v>
      </c>
      <c r="CX135">
        <f>ROUND(Y135*Source!I114,7)</f>
        <v>4.88</v>
      </c>
      <c r="CY135">
        <f>AA135</f>
        <v>0</v>
      </c>
      <c r="CZ135">
        <f>AE135</f>
        <v>0</v>
      </c>
      <c r="DA135">
        <f>AI135</f>
        <v>1</v>
      </c>
      <c r="DB135">
        <f t="shared" si="44"/>
        <v>0</v>
      </c>
      <c r="DC135">
        <f t="shared" si="45"/>
        <v>0</v>
      </c>
      <c r="DD135" t="s">
        <v>3</v>
      </c>
      <c r="DE135" t="s">
        <v>3</v>
      </c>
      <c r="DF135">
        <f>ROUND(ROUND(AE135,2)*CX135,2)</f>
        <v>0</v>
      </c>
      <c r="DG135">
        <f t="shared" si="48"/>
        <v>0</v>
      </c>
      <c r="DH135">
        <f t="shared" si="46"/>
        <v>0</v>
      </c>
      <c r="DI135">
        <f t="shared" si="47"/>
        <v>0</v>
      </c>
      <c r="DJ135">
        <f>DF135</f>
        <v>0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ROW(Source!A115)</f>
        <v>115</v>
      </c>
      <c r="B136">
        <v>65178645</v>
      </c>
      <c r="C136">
        <v>65179219</v>
      </c>
      <c r="D136">
        <v>63884137</v>
      </c>
      <c r="E136">
        <v>112</v>
      </c>
      <c r="F136">
        <v>1</v>
      </c>
      <c r="G136">
        <v>1</v>
      </c>
      <c r="H136">
        <v>1</v>
      </c>
      <c r="I136" t="s">
        <v>370</v>
      </c>
      <c r="J136" t="s">
        <v>3</v>
      </c>
      <c r="K136" t="s">
        <v>514</v>
      </c>
      <c r="L136">
        <v>1191</v>
      </c>
      <c r="N136">
        <v>1013</v>
      </c>
      <c r="O136" t="s">
        <v>372</v>
      </c>
      <c r="P136" t="s">
        <v>372</v>
      </c>
      <c r="Q136">
        <v>1</v>
      </c>
      <c r="W136">
        <v>0</v>
      </c>
      <c r="X136">
        <v>-715079457</v>
      </c>
      <c r="Y136">
        <f t="shared" si="43"/>
        <v>2.63</v>
      </c>
      <c r="AA136">
        <v>0</v>
      </c>
      <c r="AB136">
        <v>0</v>
      </c>
      <c r="AC136">
        <v>0</v>
      </c>
      <c r="AD136">
        <v>463.09</v>
      </c>
      <c r="AE136">
        <v>0</v>
      </c>
      <c r="AF136">
        <v>0</v>
      </c>
      <c r="AG136">
        <v>0</v>
      </c>
      <c r="AH136">
        <v>463.09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1</v>
      </c>
      <c r="AQ136">
        <v>1</v>
      </c>
      <c r="AR136">
        <v>0</v>
      </c>
      <c r="AS136" t="s">
        <v>3</v>
      </c>
      <c r="AT136">
        <v>2.63</v>
      </c>
      <c r="AU136" t="s">
        <v>3</v>
      </c>
      <c r="AV136">
        <v>1</v>
      </c>
      <c r="AW136">
        <v>2</v>
      </c>
      <c r="AX136">
        <v>65179672</v>
      </c>
      <c r="AY136">
        <v>1</v>
      </c>
      <c r="AZ136">
        <v>0</v>
      </c>
      <c r="BA136">
        <v>136</v>
      </c>
      <c r="BB136">
        <v>1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1217.9267</v>
      </c>
      <c r="BN136">
        <v>2.63</v>
      </c>
      <c r="BO136">
        <v>0</v>
      </c>
      <c r="BP136">
        <v>1</v>
      </c>
      <c r="BQ136">
        <v>0</v>
      </c>
      <c r="BR136">
        <v>0</v>
      </c>
      <c r="BS136">
        <v>0</v>
      </c>
      <c r="BT136">
        <v>1217.9267</v>
      </c>
      <c r="BU136">
        <v>2.63</v>
      </c>
      <c r="BV136">
        <v>0</v>
      </c>
      <c r="BW136">
        <v>1</v>
      </c>
      <c r="CU136">
        <f>ROUND(AT136*Source!I115*AH136*AL136,2)</f>
        <v>14615.12</v>
      </c>
      <c r="CV136">
        <f>ROUND(Y136*Source!I115,7)</f>
        <v>31.56</v>
      </c>
      <c r="CW136">
        <v>0</v>
      </c>
      <c r="CX136">
        <f>ROUND(Y136*Source!I115,7)</f>
        <v>31.56</v>
      </c>
      <c r="CY136">
        <f>AD136</f>
        <v>463.09</v>
      </c>
      <c r="CZ136">
        <f>AH136</f>
        <v>463.09</v>
      </c>
      <c r="DA136">
        <f>AL136</f>
        <v>1</v>
      </c>
      <c r="DB136">
        <f t="shared" si="44"/>
        <v>1217.93</v>
      </c>
      <c r="DC136">
        <f t="shared" si="45"/>
        <v>0</v>
      </c>
      <c r="DD136" t="s">
        <v>3</v>
      </c>
      <c r="DE136" t="s">
        <v>3</v>
      </c>
      <c r="DF136">
        <f>ROUND(ROUND(AE136,2)*CX136,2)</f>
        <v>0</v>
      </c>
      <c r="DG136">
        <f t="shared" si="48"/>
        <v>0</v>
      </c>
      <c r="DH136">
        <f t="shared" si="46"/>
        <v>0</v>
      </c>
      <c r="DI136">
        <f t="shared" si="47"/>
        <v>14615.12</v>
      </c>
      <c r="DJ136">
        <f>DI136</f>
        <v>14615.12</v>
      </c>
      <c r="DK136">
        <v>1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ROW(Source!A115)</f>
        <v>115</v>
      </c>
      <c r="B137">
        <v>65178645</v>
      </c>
      <c r="C137">
        <v>65179219</v>
      </c>
      <c r="D137">
        <v>63884368</v>
      </c>
      <c r="E137">
        <v>112</v>
      </c>
      <c r="F137">
        <v>1</v>
      </c>
      <c r="G137">
        <v>1</v>
      </c>
      <c r="H137">
        <v>1</v>
      </c>
      <c r="I137" t="s">
        <v>373</v>
      </c>
      <c r="J137" t="s">
        <v>3</v>
      </c>
      <c r="K137" t="s">
        <v>374</v>
      </c>
      <c r="L137">
        <v>1191</v>
      </c>
      <c r="N137">
        <v>1013</v>
      </c>
      <c r="O137" t="s">
        <v>372</v>
      </c>
      <c r="P137" t="s">
        <v>372</v>
      </c>
      <c r="Q137">
        <v>1</v>
      </c>
      <c r="W137">
        <v>0</v>
      </c>
      <c r="X137">
        <v>-1417349443</v>
      </c>
      <c r="Y137">
        <f t="shared" si="43"/>
        <v>0.27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0</v>
      </c>
      <c r="AP137">
        <v>1</v>
      </c>
      <c r="AQ137">
        <v>1</v>
      </c>
      <c r="AR137">
        <v>0</v>
      </c>
      <c r="AS137" t="s">
        <v>3</v>
      </c>
      <c r="AT137">
        <v>0.27</v>
      </c>
      <c r="AU137" t="s">
        <v>3</v>
      </c>
      <c r="AV137">
        <v>2</v>
      </c>
      <c r="AW137">
        <v>2</v>
      </c>
      <c r="AX137">
        <v>65179673</v>
      </c>
      <c r="AY137">
        <v>1</v>
      </c>
      <c r="AZ137">
        <v>0</v>
      </c>
      <c r="BA137">
        <v>137</v>
      </c>
      <c r="BB137">
        <v>1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v>0</v>
      </c>
      <c r="CX137">
        <f>ROUND(Y137*Source!I115,7)</f>
        <v>3.24</v>
      </c>
      <c r="CY137">
        <f>AD137</f>
        <v>0</v>
      </c>
      <c r="CZ137">
        <f>AH137</f>
        <v>0</v>
      </c>
      <c r="DA137">
        <f>AL137</f>
        <v>1</v>
      </c>
      <c r="DB137">
        <f t="shared" si="44"/>
        <v>0</v>
      </c>
      <c r="DC137">
        <f t="shared" si="45"/>
        <v>0</v>
      </c>
      <c r="DD137" t="s">
        <v>3</v>
      </c>
      <c r="DE137" t="s">
        <v>3</v>
      </c>
      <c r="DF137">
        <f>ROUND(ROUND(AE137,2)*CX137,2)</f>
        <v>0</v>
      </c>
      <c r="DG137">
        <f t="shared" si="48"/>
        <v>0</v>
      </c>
      <c r="DH137">
        <f t="shared" si="46"/>
        <v>0</v>
      </c>
      <c r="DI137">
        <f t="shared" si="47"/>
        <v>0</v>
      </c>
      <c r="DJ137">
        <f>DI137</f>
        <v>0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ROW(Source!A115)</f>
        <v>115</v>
      </c>
      <c r="B138">
        <v>65178645</v>
      </c>
      <c r="C138">
        <v>65179219</v>
      </c>
      <c r="D138">
        <v>64001688</v>
      </c>
      <c r="E138">
        <v>1</v>
      </c>
      <c r="F138">
        <v>1</v>
      </c>
      <c r="G138">
        <v>1</v>
      </c>
      <c r="H138">
        <v>2</v>
      </c>
      <c r="I138" t="s">
        <v>398</v>
      </c>
      <c r="J138" t="s">
        <v>399</v>
      </c>
      <c r="K138" t="s">
        <v>400</v>
      </c>
      <c r="L138">
        <v>1368</v>
      </c>
      <c r="N138">
        <v>1011</v>
      </c>
      <c r="O138" t="s">
        <v>378</v>
      </c>
      <c r="P138" t="s">
        <v>378</v>
      </c>
      <c r="Q138">
        <v>1</v>
      </c>
      <c r="W138">
        <v>0</v>
      </c>
      <c r="X138">
        <v>-780150906</v>
      </c>
      <c r="Y138">
        <f t="shared" si="43"/>
        <v>0.12</v>
      </c>
      <c r="AA138">
        <v>0</v>
      </c>
      <c r="AB138">
        <v>471.55</v>
      </c>
      <c r="AC138">
        <v>490.55</v>
      </c>
      <c r="AD138">
        <v>0</v>
      </c>
      <c r="AE138">
        <v>0</v>
      </c>
      <c r="AF138">
        <v>346.73</v>
      </c>
      <c r="AG138">
        <v>490.55</v>
      </c>
      <c r="AH138">
        <v>0</v>
      </c>
      <c r="AI138">
        <v>1</v>
      </c>
      <c r="AJ138">
        <v>1.36</v>
      </c>
      <c r="AK138">
        <v>1</v>
      </c>
      <c r="AL138">
        <v>1</v>
      </c>
      <c r="AM138">
        <v>2</v>
      </c>
      <c r="AN138">
        <v>0</v>
      </c>
      <c r="AO138">
        <v>0</v>
      </c>
      <c r="AP138">
        <v>1</v>
      </c>
      <c r="AQ138">
        <v>1</v>
      </c>
      <c r="AR138">
        <v>0</v>
      </c>
      <c r="AS138" t="s">
        <v>3</v>
      </c>
      <c r="AT138">
        <v>0.12</v>
      </c>
      <c r="AU138" t="s">
        <v>3</v>
      </c>
      <c r="AV138">
        <v>1</v>
      </c>
      <c r="AW138">
        <v>2</v>
      </c>
      <c r="AX138">
        <v>65179674</v>
      </c>
      <c r="AY138">
        <v>1</v>
      </c>
      <c r="AZ138">
        <v>0</v>
      </c>
      <c r="BA138">
        <v>138</v>
      </c>
      <c r="BB138">
        <v>1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41.607599999999998</v>
      </c>
      <c r="BL138">
        <v>58.866</v>
      </c>
      <c r="BM138">
        <v>0</v>
      </c>
      <c r="BN138">
        <v>0</v>
      </c>
      <c r="BO138">
        <v>0.12</v>
      </c>
      <c r="BP138">
        <v>1</v>
      </c>
      <c r="BQ138">
        <v>0</v>
      </c>
      <c r="BR138">
        <v>41.607599999999998</v>
      </c>
      <c r="BS138">
        <v>58.866</v>
      </c>
      <c r="BT138">
        <v>0</v>
      </c>
      <c r="BU138">
        <v>0</v>
      </c>
      <c r="BV138">
        <v>0.12</v>
      </c>
      <c r="BW138">
        <v>1</v>
      </c>
      <c r="CV138">
        <v>0</v>
      </c>
      <c r="CW138">
        <f>ROUND(Y138*Source!I115*DO138,7)</f>
        <v>1.44</v>
      </c>
      <c r="CX138">
        <f>ROUND(Y138*Source!I115,7)</f>
        <v>1.44</v>
      </c>
      <c r="CY138">
        <f>AB138</f>
        <v>471.55</v>
      </c>
      <c r="CZ138">
        <f>AF138</f>
        <v>346.73</v>
      </c>
      <c r="DA138">
        <f>AJ138</f>
        <v>1.36</v>
      </c>
      <c r="DB138">
        <f t="shared" si="44"/>
        <v>41.61</v>
      </c>
      <c r="DC138">
        <f t="shared" si="45"/>
        <v>58.87</v>
      </c>
      <c r="DD138" t="s">
        <v>3</v>
      </c>
      <c r="DE138" t="s">
        <v>3</v>
      </c>
      <c r="DF138">
        <f>ROUND(ROUND(AE138,2)*CX138,2)</f>
        <v>0</v>
      </c>
      <c r="DG138">
        <f>ROUND(ROUND(AF138*AJ138,2)*CX138,2)</f>
        <v>679.03</v>
      </c>
      <c r="DH138">
        <f t="shared" si="46"/>
        <v>706.39</v>
      </c>
      <c r="DI138">
        <f t="shared" si="47"/>
        <v>0</v>
      </c>
      <c r="DJ138">
        <f>DG138+DH138</f>
        <v>1385.42</v>
      </c>
      <c r="DK138">
        <v>0</v>
      </c>
      <c r="DL138" t="s">
        <v>383</v>
      </c>
      <c r="DM138">
        <v>4</v>
      </c>
      <c r="DN138" t="s">
        <v>372</v>
      </c>
      <c r="DO138">
        <v>1</v>
      </c>
    </row>
    <row r="139" spans="1:119" x14ac:dyDescent="0.2">
      <c r="A139">
        <f>ROW(Source!A115)</f>
        <v>115</v>
      </c>
      <c r="B139">
        <v>65178645</v>
      </c>
      <c r="C139">
        <v>65179219</v>
      </c>
      <c r="D139">
        <v>64002400</v>
      </c>
      <c r="E139">
        <v>1</v>
      </c>
      <c r="F139">
        <v>1</v>
      </c>
      <c r="G139">
        <v>1</v>
      </c>
      <c r="H139">
        <v>2</v>
      </c>
      <c r="I139" t="s">
        <v>380</v>
      </c>
      <c r="J139" t="s">
        <v>381</v>
      </c>
      <c r="K139" t="s">
        <v>382</v>
      </c>
      <c r="L139">
        <v>1368</v>
      </c>
      <c r="N139">
        <v>1011</v>
      </c>
      <c r="O139" t="s">
        <v>378</v>
      </c>
      <c r="P139" t="s">
        <v>378</v>
      </c>
      <c r="Q139">
        <v>1</v>
      </c>
      <c r="W139">
        <v>0</v>
      </c>
      <c r="X139">
        <v>1032761012</v>
      </c>
      <c r="Y139">
        <f t="shared" si="43"/>
        <v>0.15</v>
      </c>
      <c r="AA139">
        <v>0</v>
      </c>
      <c r="AB139">
        <v>578.28</v>
      </c>
      <c r="AC139">
        <v>490.55</v>
      </c>
      <c r="AD139">
        <v>0</v>
      </c>
      <c r="AE139">
        <v>0</v>
      </c>
      <c r="AF139">
        <v>477.92</v>
      </c>
      <c r="AG139">
        <v>490.55</v>
      </c>
      <c r="AH139">
        <v>0</v>
      </c>
      <c r="AI139">
        <v>1</v>
      </c>
      <c r="AJ139">
        <v>1.21</v>
      </c>
      <c r="AK139">
        <v>1</v>
      </c>
      <c r="AL139">
        <v>1</v>
      </c>
      <c r="AM139">
        <v>2</v>
      </c>
      <c r="AN139">
        <v>0</v>
      </c>
      <c r="AO139">
        <v>0</v>
      </c>
      <c r="AP139">
        <v>1</v>
      </c>
      <c r="AQ139">
        <v>1</v>
      </c>
      <c r="AR139">
        <v>0</v>
      </c>
      <c r="AS139" t="s">
        <v>3</v>
      </c>
      <c r="AT139">
        <v>0.15</v>
      </c>
      <c r="AU139" t="s">
        <v>3</v>
      </c>
      <c r="AV139">
        <v>1</v>
      </c>
      <c r="AW139">
        <v>2</v>
      </c>
      <c r="AX139">
        <v>65179675</v>
      </c>
      <c r="AY139">
        <v>1</v>
      </c>
      <c r="AZ139">
        <v>0</v>
      </c>
      <c r="BA139">
        <v>139</v>
      </c>
      <c r="BB139">
        <v>1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71.688000000000002</v>
      </c>
      <c r="BL139">
        <v>73.582499999999996</v>
      </c>
      <c r="BM139">
        <v>0</v>
      </c>
      <c r="BN139">
        <v>0</v>
      </c>
      <c r="BO139">
        <v>0.15</v>
      </c>
      <c r="BP139">
        <v>1</v>
      </c>
      <c r="BQ139">
        <v>0</v>
      </c>
      <c r="BR139">
        <v>71.688000000000002</v>
      </c>
      <c r="BS139">
        <v>73.582499999999996</v>
      </c>
      <c r="BT139">
        <v>0</v>
      </c>
      <c r="BU139">
        <v>0</v>
      </c>
      <c r="BV139">
        <v>0.15</v>
      </c>
      <c r="BW139">
        <v>1</v>
      </c>
      <c r="CV139">
        <v>0</v>
      </c>
      <c r="CW139">
        <f>ROUND(Y139*Source!I115*DO139,7)</f>
        <v>1.8</v>
      </c>
      <c r="CX139">
        <f>ROUND(Y139*Source!I115,7)</f>
        <v>1.8</v>
      </c>
      <c r="CY139">
        <f>AB139</f>
        <v>578.28</v>
      </c>
      <c r="CZ139">
        <f>AF139</f>
        <v>477.92</v>
      </c>
      <c r="DA139">
        <f>AJ139</f>
        <v>1.21</v>
      </c>
      <c r="DB139">
        <f t="shared" si="44"/>
        <v>71.69</v>
      </c>
      <c r="DC139">
        <f t="shared" si="45"/>
        <v>73.58</v>
      </c>
      <c r="DD139" t="s">
        <v>3</v>
      </c>
      <c r="DE139" t="s">
        <v>3</v>
      </c>
      <c r="DF139">
        <f>ROUND(ROUND(AE139,2)*CX139,2)</f>
        <v>0</v>
      </c>
      <c r="DG139">
        <f>ROUND(ROUND(AF139*AJ139,2)*CX139,2)</f>
        <v>1040.9000000000001</v>
      </c>
      <c r="DH139">
        <f t="shared" si="46"/>
        <v>882.99</v>
      </c>
      <c r="DI139">
        <f t="shared" si="47"/>
        <v>0</v>
      </c>
      <c r="DJ139">
        <f>DG139+DH139</f>
        <v>1923.89</v>
      </c>
      <c r="DK139">
        <v>0</v>
      </c>
      <c r="DL139" t="s">
        <v>383</v>
      </c>
      <c r="DM139">
        <v>4</v>
      </c>
      <c r="DN139" t="s">
        <v>372</v>
      </c>
      <c r="DO139">
        <v>1</v>
      </c>
    </row>
    <row r="140" spans="1:119" x14ac:dyDescent="0.2">
      <c r="A140">
        <f>ROW(Source!A115)</f>
        <v>115</v>
      </c>
      <c r="B140">
        <v>65178645</v>
      </c>
      <c r="C140">
        <v>65179219</v>
      </c>
      <c r="D140">
        <v>63953092</v>
      </c>
      <c r="E140">
        <v>1</v>
      </c>
      <c r="F140">
        <v>1</v>
      </c>
      <c r="G140">
        <v>1</v>
      </c>
      <c r="H140">
        <v>3</v>
      </c>
      <c r="I140" t="s">
        <v>450</v>
      </c>
      <c r="J140" t="s">
        <v>451</v>
      </c>
      <c r="K140" t="s">
        <v>452</v>
      </c>
      <c r="L140">
        <v>1346</v>
      </c>
      <c r="N140">
        <v>1009</v>
      </c>
      <c r="O140" t="s">
        <v>253</v>
      </c>
      <c r="P140" t="s">
        <v>253</v>
      </c>
      <c r="Q140">
        <v>1</v>
      </c>
      <c r="W140">
        <v>0</v>
      </c>
      <c r="X140">
        <v>1205799243</v>
      </c>
      <c r="Y140">
        <f t="shared" si="43"/>
        <v>0.5</v>
      </c>
      <c r="AA140">
        <v>421.77</v>
      </c>
      <c r="AB140">
        <v>0</v>
      </c>
      <c r="AC140">
        <v>0</v>
      </c>
      <c r="AD140">
        <v>0</v>
      </c>
      <c r="AE140">
        <v>238.29</v>
      </c>
      <c r="AF140">
        <v>0</v>
      </c>
      <c r="AG140">
        <v>0</v>
      </c>
      <c r="AH140">
        <v>0</v>
      </c>
      <c r="AI140">
        <v>1.77</v>
      </c>
      <c r="AJ140">
        <v>1</v>
      </c>
      <c r="AK140">
        <v>1</v>
      </c>
      <c r="AL140">
        <v>1</v>
      </c>
      <c r="AM140">
        <v>2</v>
      </c>
      <c r="AN140">
        <v>0</v>
      </c>
      <c r="AO140">
        <v>0</v>
      </c>
      <c r="AP140">
        <v>1</v>
      </c>
      <c r="AQ140">
        <v>1</v>
      </c>
      <c r="AR140">
        <v>0</v>
      </c>
      <c r="AS140" t="s">
        <v>3</v>
      </c>
      <c r="AT140">
        <v>0.5</v>
      </c>
      <c r="AU140" t="s">
        <v>3</v>
      </c>
      <c r="AV140">
        <v>0</v>
      </c>
      <c r="AW140">
        <v>2</v>
      </c>
      <c r="AX140">
        <v>65179676</v>
      </c>
      <c r="AY140">
        <v>1</v>
      </c>
      <c r="AZ140">
        <v>0</v>
      </c>
      <c r="BA140">
        <v>140</v>
      </c>
      <c r="BB140">
        <v>1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119.145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1</v>
      </c>
      <c r="BQ140">
        <v>119.145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1</v>
      </c>
      <c r="CV140">
        <v>0</v>
      </c>
      <c r="CW140">
        <v>0</v>
      </c>
      <c r="CX140">
        <f>ROUND(Y140*Source!I115,7)</f>
        <v>6</v>
      </c>
      <c r="CY140">
        <f t="shared" ref="CY140:CY146" si="49">AA140</f>
        <v>421.77</v>
      </c>
      <c r="CZ140">
        <f t="shared" ref="CZ140:CZ146" si="50">AE140</f>
        <v>238.29</v>
      </c>
      <c r="DA140">
        <f t="shared" ref="DA140:DA146" si="51">AI140</f>
        <v>1.77</v>
      </c>
      <c r="DB140">
        <f t="shared" si="44"/>
        <v>119.15</v>
      </c>
      <c r="DC140">
        <f t="shared" si="45"/>
        <v>0</v>
      </c>
      <c r="DD140" t="s">
        <v>3</v>
      </c>
      <c r="DE140" t="s">
        <v>3</v>
      </c>
      <c r="DF140">
        <f>ROUND(ROUND(AE140*AI140,2)*CX140,2)</f>
        <v>2530.62</v>
      </c>
      <c r="DG140">
        <f t="shared" ref="DG140:DG149" si="52">ROUND(ROUND(AF140,2)*CX140,2)</f>
        <v>0</v>
      </c>
      <c r="DH140">
        <f t="shared" si="46"/>
        <v>0</v>
      </c>
      <c r="DI140">
        <f t="shared" si="47"/>
        <v>0</v>
      </c>
      <c r="DJ140">
        <f t="shared" ref="DJ140:DJ146" si="53">DF140</f>
        <v>2530.62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ROW(Source!A115)</f>
        <v>115</v>
      </c>
      <c r="B141">
        <v>65178645</v>
      </c>
      <c r="C141">
        <v>65179219</v>
      </c>
      <c r="D141">
        <v>63956166</v>
      </c>
      <c r="E141">
        <v>1</v>
      </c>
      <c r="F141">
        <v>1</v>
      </c>
      <c r="G141">
        <v>1</v>
      </c>
      <c r="H141">
        <v>3</v>
      </c>
      <c r="I141" t="s">
        <v>411</v>
      </c>
      <c r="J141" t="s">
        <v>412</v>
      </c>
      <c r="K141" t="s">
        <v>413</v>
      </c>
      <c r="L141">
        <v>1346</v>
      </c>
      <c r="N141">
        <v>1009</v>
      </c>
      <c r="O141" t="s">
        <v>253</v>
      </c>
      <c r="P141" t="s">
        <v>253</v>
      </c>
      <c r="Q141">
        <v>1</v>
      </c>
      <c r="W141">
        <v>0</v>
      </c>
      <c r="X141">
        <v>1271338475</v>
      </c>
      <c r="Y141">
        <f t="shared" si="43"/>
        <v>0</v>
      </c>
      <c r="AA141">
        <v>201.17</v>
      </c>
      <c r="AB141">
        <v>0</v>
      </c>
      <c r="AC141">
        <v>0</v>
      </c>
      <c r="AD141">
        <v>0</v>
      </c>
      <c r="AE141">
        <v>174.93</v>
      </c>
      <c r="AF141">
        <v>0</v>
      </c>
      <c r="AG141">
        <v>0</v>
      </c>
      <c r="AH141">
        <v>0</v>
      </c>
      <c r="AI141">
        <v>1.1499999999999999</v>
      </c>
      <c r="AJ141">
        <v>1</v>
      </c>
      <c r="AK141">
        <v>1</v>
      </c>
      <c r="AL141">
        <v>1</v>
      </c>
      <c r="AM141">
        <v>2</v>
      </c>
      <c r="AN141">
        <v>1</v>
      </c>
      <c r="AO141">
        <v>0</v>
      </c>
      <c r="AP141">
        <v>1</v>
      </c>
      <c r="AQ141">
        <v>1</v>
      </c>
      <c r="AR141">
        <v>0</v>
      </c>
      <c r="AS141" t="s">
        <v>3</v>
      </c>
      <c r="AT141">
        <v>0</v>
      </c>
      <c r="AU141" t="s">
        <v>3</v>
      </c>
      <c r="AV141">
        <v>0</v>
      </c>
      <c r="AW141">
        <v>2</v>
      </c>
      <c r="AX141">
        <v>65179677</v>
      </c>
      <c r="AY141">
        <v>1</v>
      </c>
      <c r="AZ141">
        <v>0</v>
      </c>
      <c r="BA141">
        <v>141</v>
      </c>
      <c r="BB141">
        <v>1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V141">
        <v>0</v>
      </c>
      <c r="CW141">
        <v>0</v>
      </c>
      <c r="CX141">
        <f>ROUND(Y141*Source!I115,7)</f>
        <v>0</v>
      </c>
      <c r="CY141">
        <f t="shared" si="49"/>
        <v>201.17</v>
      </c>
      <c r="CZ141">
        <f t="shared" si="50"/>
        <v>174.93</v>
      </c>
      <c r="DA141">
        <f t="shared" si="51"/>
        <v>1.1499999999999999</v>
      </c>
      <c r="DB141">
        <f t="shared" si="44"/>
        <v>0</v>
      </c>
      <c r="DC141">
        <f t="shared" si="45"/>
        <v>0</v>
      </c>
      <c r="DD141" t="s">
        <v>3</v>
      </c>
      <c r="DE141" t="s">
        <v>3</v>
      </c>
      <c r="DF141">
        <f>ROUND(ROUND(AE141*AI141,2)*CX141,2)</f>
        <v>0</v>
      </c>
      <c r="DG141">
        <f t="shared" si="52"/>
        <v>0</v>
      </c>
      <c r="DH141">
        <f t="shared" si="46"/>
        <v>0</v>
      </c>
      <c r="DI141">
        <f t="shared" si="47"/>
        <v>0</v>
      </c>
      <c r="DJ141">
        <f t="shared" si="53"/>
        <v>0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ROW(Source!A115)</f>
        <v>115</v>
      </c>
      <c r="B142">
        <v>65178645</v>
      </c>
      <c r="C142">
        <v>65179219</v>
      </c>
      <c r="D142">
        <v>63886352</v>
      </c>
      <c r="E142">
        <v>112</v>
      </c>
      <c r="F142">
        <v>1</v>
      </c>
      <c r="G142">
        <v>1</v>
      </c>
      <c r="H142">
        <v>3</v>
      </c>
      <c r="I142" t="s">
        <v>461</v>
      </c>
      <c r="J142" t="s">
        <v>3</v>
      </c>
      <c r="K142" t="s">
        <v>462</v>
      </c>
      <c r="L142">
        <v>1348</v>
      </c>
      <c r="N142">
        <v>1009</v>
      </c>
      <c r="O142" t="s">
        <v>244</v>
      </c>
      <c r="P142" t="s">
        <v>244</v>
      </c>
      <c r="Q142">
        <v>1000</v>
      </c>
      <c r="W142">
        <v>0</v>
      </c>
      <c r="X142">
        <v>1602794472</v>
      </c>
      <c r="Y142">
        <f t="shared" si="43"/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M142">
        <v>-2</v>
      </c>
      <c r="AN142">
        <v>1</v>
      </c>
      <c r="AO142">
        <v>0</v>
      </c>
      <c r="AP142">
        <v>1</v>
      </c>
      <c r="AQ142">
        <v>1</v>
      </c>
      <c r="AR142">
        <v>0</v>
      </c>
      <c r="AS142" t="s">
        <v>3</v>
      </c>
      <c r="AT142">
        <v>0</v>
      </c>
      <c r="AU142" t="s">
        <v>3</v>
      </c>
      <c r="AV142">
        <v>0</v>
      </c>
      <c r="AW142">
        <v>2</v>
      </c>
      <c r="AX142">
        <v>65179678</v>
      </c>
      <c r="AY142">
        <v>1</v>
      </c>
      <c r="AZ142">
        <v>0</v>
      </c>
      <c r="BA142">
        <v>142</v>
      </c>
      <c r="BB142">
        <v>1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V142">
        <v>0</v>
      </c>
      <c r="CW142">
        <v>0</v>
      </c>
      <c r="CX142">
        <f>ROUND(Y142*Source!I115,7)</f>
        <v>0</v>
      </c>
      <c r="CY142">
        <f t="shared" si="49"/>
        <v>0</v>
      </c>
      <c r="CZ142">
        <f t="shared" si="50"/>
        <v>0</v>
      </c>
      <c r="DA142">
        <f t="shared" si="51"/>
        <v>1</v>
      </c>
      <c r="DB142">
        <f t="shared" si="44"/>
        <v>0</v>
      </c>
      <c r="DC142">
        <f t="shared" si="45"/>
        <v>0</v>
      </c>
      <c r="DD142" t="s">
        <v>3</v>
      </c>
      <c r="DE142" t="s">
        <v>3</v>
      </c>
      <c r="DF142">
        <f t="shared" ref="DF142:DF151" si="54">ROUND(ROUND(AE142,2)*CX142,2)</f>
        <v>0</v>
      </c>
      <c r="DG142">
        <f t="shared" si="52"/>
        <v>0</v>
      </c>
      <c r="DH142">
        <f t="shared" si="46"/>
        <v>0</v>
      </c>
      <c r="DI142">
        <f t="shared" si="47"/>
        <v>0</v>
      </c>
      <c r="DJ142">
        <f t="shared" si="53"/>
        <v>0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ROW(Source!A115)</f>
        <v>115</v>
      </c>
      <c r="B143">
        <v>65178645</v>
      </c>
      <c r="C143">
        <v>65179219</v>
      </c>
      <c r="D143">
        <v>63886499</v>
      </c>
      <c r="E143">
        <v>112</v>
      </c>
      <c r="F143">
        <v>1</v>
      </c>
      <c r="G143">
        <v>1</v>
      </c>
      <c r="H143">
        <v>3</v>
      </c>
      <c r="I143" t="s">
        <v>463</v>
      </c>
      <c r="J143" t="s">
        <v>3</v>
      </c>
      <c r="K143" t="s">
        <v>464</v>
      </c>
      <c r="L143">
        <v>1346</v>
      </c>
      <c r="N143">
        <v>1009</v>
      </c>
      <c r="O143" t="s">
        <v>253</v>
      </c>
      <c r="P143" t="s">
        <v>253</v>
      </c>
      <c r="Q143">
        <v>1</v>
      </c>
      <c r="W143">
        <v>0</v>
      </c>
      <c r="X143">
        <v>-1111733769</v>
      </c>
      <c r="Y143">
        <f t="shared" si="43"/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1</v>
      </c>
      <c r="AO143">
        <v>0</v>
      </c>
      <c r="AP143">
        <v>1</v>
      </c>
      <c r="AQ143">
        <v>1</v>
      </c>
      <c r="AR143">
        <v>0</v>
      </c>
      <c r="AS143" t="s">
        <v>3</v>
      </c>
      <c r="AT143">
        <v>0</v>
      </c>
      <c r="AU143" t="s">
        <v>3</v>
      </c>
      <c r="AV143">
        <v>0</v>
      </c>
      <c r="AW143">
        <v>2</v>
      </c>
      <c r="AX143">
        <v>65179679</v>
      </c>
      <c r="AY143">
        <v>1</v>
      </c>
      <c r="AZ143">
        <v>0</v>
      </c>
      <c r="BA143">
        <v>143</v>
      </c>
      <c r="BB143">
        <v>1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V143">
        <v>0</v>
      </c>
      <c r="CW143">
        <v>0</v>
      </c>
      <c r="CX143">
        <f>ROUND(Y143*Source!I115,7)</f>
        <v>0</v>
      </c>
      <c r="CY143">
        <f t="shared" si="49"/>
        <v>0</v>
      </c>
      <c r="CZ143">
        <f t="shared" si="50"/>
        <v>0</v>
      </c>
      <c r="DA143">
        <f t="shared" si="51"/>
        <v>1</v>
      </c>
      <c r="DB143">
        <f t="shared" si="44"/>
        <v>0</v>
      </c>
      <c r="DC143">
        <f t="shared" si="45"/>
        <v>0</v>
      </c>
      <c r="DD143" t="s">
        <v>3</v>
      </c>
      <c r="DE143" t="s">
        <v>3</v>
      </c>
      <c r="DF143">
        <f t="shared" si="54"/>
        <v>0</v>
      </c>
      <c r="DG143">
        <f t="shared" si="52"/>
        <v>0</v>
      </c>
      <c r="DH143">
        <f t="shared" si="46"/>
        <v>0</v>
      </c>
      <c r="DI143">
        <f t="shared" si="47"/>
        <v>0</v>
      </c>
      <c r="DJ143">
        <f t="shared" si="53"/>
        <v>0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ROW(Source!A115)</f>
        <v>115</v>
      </c>
      <c r="B144">
        <v>65178645</v>
      </c>
      <c r="C144">
        <v>65179219</v>
      </c>
      <c r="D144">
        <v>63889028</v>
      </c>
      <c r="E144">
        <v>112</v>
      </c>
      <c r="F144">
        <v>1</v>
      </c>
      <c r="G144">
        <v>1</v>
      </c>
      <c r="H144">
        <v>3</v>
      </c>
      <c r="I144" t="s">
        <v>515</v>
      </c>
      <c r="J144" t="s">
        <v>3</v>
      </c>
      <c r="K144" t="s">
        <v>516</v>
      </c>
      <c r="L144">
        <v>1348</v>
      </c>
      <c r="N144">
        <v>1009</v>
      </c>
      <c r="O144" t="s">
        <v>244</v>
      </c>
      <c r="P144" t="s">
        <v>244</v>
      </c>
      <c r="Q144">
        <v>1000</v>
      </c>
      <c r="W144">
        <v>0</v>
      </c>
      <c r="X144">
        <v>-2074906300</v>
      </c>
      <c r="Y144">
        <f t="shared" si="43"/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M144">
        <v>-2</v>
      </c>
      <c r="AN144">
        <v>1</v>
      </c>
      <c r="AO144">
        <v>0</v>
      </c>
      <c r="AP144">
        <v>1</v>
      </c>
      <c r="AQ144">
        <v>1</v>
      </c>
      <c r="AR144">
        <v>0</v>
      </c>
      <c r="AS144" t="s">
        <v>3</v>
      </c>
      <c r="AT144">
        <v>0</v>
      </c>
      <c r="AU144" t="s">
        <v>3</v>
      </c>
      <c r="AV144">
        <v>0</v>
      </c>
      <c r="AW144">
        <v>2</v>
      </c>
      <c r="AX144">
        <v>65179680</v>
      </c>
      <c r="AY144">
        <v>1</v>
      </c>
      <c r="AZ144">
        <v>0</v>
      </c>
      <c r="BA144">
        <v>144</v>
      </c>
      <c r="BB144">
        <v>1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v>0</v>
      </c>
      <c r="CX144">
        <f>ROUND(Y144*Source!I115,7)</f>
        <v>0</v>
      </c>
      <c r="CY144">
        <f t="shared" si="49"/>
        <v>0</v>
      </c>
      <c r="CZ144">
        <f t="shared" si="50"/>
        <v>0</v>
      </c>
      <c r="DA144">
        <f t="shared" si="51"/>
        <v>1</v>
      </c>
      <c r="DB144">
        <f t="shared" si="44"/>
        <v>0</v>
      </c>
      <c r="DC144">
        <f t="shared" si="45"/>
        <v>0</v>
      </c>
      <c r="DD144" t="s">
        <v>3</v>
      </c>
      <c r="DE144" t="s">
        <v>3</v>
      </c>
      <c r="DF144">
        <f t="shared" si="54"/>
        <v>0</v>
      </c>
      <c r="DG144">
        <f t="shared" si="52"/>
        <v>0</v>
      </c>
      <c r="DH144">
        <f t="shared" si="46"/>
        <v>0</v>
      </c>
      <c r="DI144">
        <f t="shared" si="47"/>
        <v>0</v>
      </c>
      <c r="DJ144">
        <f t="shared" si="53"/>
        <v>0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ROW(Source!A115)</f>
        <v>115</v>
      </c>
      <c r="B145">
        <v>65178645</v>
      </c>
      <c r="C145">
        <v>65179219</v>
      </c>
      <c r="D145">
        <v>63889057</v>
      </c>
      <c r="E145">
        <v>112</v>
      </c>
      <c r="F145">
        <v>1</v>
      </c>
      <c r="G145">
        <v>1</v>
      </c>
      <c r="H145">
        <v>3</v>
      </c>
      <c r="I145" t="s">
        <v>476</v>
      </c>
      <c r="J145" t="s">
        <v>3</v>
      </c>
      <c r="K145" t="s">
        <v>517</v>
      </c>
      <c r="L145">
        <v>1371</v>
      </c>
      <c r="N145">
        <v>1013</v>
      </c>
      <c r="O145" t="s">
        <v>77</v>
      </c>
      <c r="P145" t="s">
        <v>77</v>
      </c>
      <c r="Q145">
        <v>1</v>
      </c>
      <c r="W145">
        <v>0</v>
      </c>
      <c r="X145">
        <v>1740798612</v>
      </c>
      <c r="Y145">
        <f t="shared" si="43"/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1</v>
      </c>
      <c r="AO145">
        <v>0</v>
      </c>
      <c r="AP145">
        <v>1</v>
      </c>
      <c r="AQ145">
        <v>1</v>
      </c>
      <c r="AR145">
        <v>0</v>
      </c>
      <c r="AS145" t="s">
        <v>3</v>
      </c>
      <c r="AT145">
        <v>0</v>
      </c>
      <c r="AU145" t="s">
        <v>3</v>
      </c>
      <c r="AV145">
        <v>0</v>
      </c>
      <c r="AW145">
        <v>2</v>
      </c>
      <c r="AX145">
        <v>65179681</v>
      </c>
      <c r="AY145">
        <v>1</v>
      </c>
      <c r="AZ145">
        <v>0</v>
      </c>
      <c r="BA145">
        <v>145</v>
      </c>
      <c r="BB145">
        <v>1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ROUND(Y145*Source!I115,7)</f>
        <v>0</v>
      </c>
      <c r="CY145">
        <f t="shared" si="49"/>
        <v>0</v>
      </c>
      <c r="CZ145">
        <f t="shared" si="50"/>
        <v>0</v>
      </c>
      <c r="DA145">
        <f t="shared" si="51"/>
        <v>1</v>
      </c>
      <c r="DB145">
        <f t="shared" si="44"/>
        <v>0</v>
      </c>
      <c r="DC145">
        <f t="shared" si="45"/>
        <v>0</v>
      </c>
      <c r="DD145" t="s">
        <v>3</v>
      </c>
      <c r="DE145" t="s">
        <v>3</v>
      </c>
      <c r="DF145">
        <f t="shared" si="54"/>
        <v>0</v>
      </c>
      <c r="DG145">
        <f t="shared" si="52"/>
        <v>0</v>
      </c>
      <c r="DH145">
        <f t="shared" si="46"/>
        <v>0</v>
      </c>
      <c r="DI145">
        <f t="shared" si="47"/>
        <v>0</v>
      </c>
      <c r="DJ145">
        <f t="shared" si="53"/>
        <v>0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ROW(Source!A115)</f>
        <v>115</v>
      </c>
      <c r="B146">
        <v>65178645</v>
      </c>
      <c r="C146">
        <v>65179219</v>
      </c>
      <c r="D146">
        <v>63889081</v>
      </c>
      <c r="E146">
        <v>112</v>
      </c>
      <c r="F146">
        <v>1</v>
      </c>
      <c r="G146">
        <v>1</v>
      </c>
      <c r="H146">
        <v>3</v>
      </c>
      <c r="I146" t="s">
        <v>484</v>
      </c>
      <c r="J146" t="s">
        <v>3</v>
      </c>
      <c r="K146" t="s">
        <v>518</v>
      </c>
      <c r="L146">
        <v>1346</v>
      </c>
      <c r="N146">
        <v>1009</v>
      </c>
      <c r="O146" t="s">
        <v>253</v>
      </c>
      <c r="P146" t="s">
        <v>253</v>
      </c>
      <c r="Q146">
        <v>1</v>
      </c>
      <c r="W146">
        <v>0</v>
      </c>
      <c r="X146">
        <v>86920782</v>
      </c>
      <c r="Y146">
        <f t="shared" si="43"/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1</v>
      </c>
      <c r="AO146">
        <v>0</v>
      </c>
      <c r="AP146">
        <v>1</v>
      </c>
      <c r="AQ146">
        <v>1</v>
      </c>
      <c r="AR146">
        <v>0</v>
      </c>
      <c r="AS146" t="s">
        <v>3</v>
      </c>
      <c r="AT146">
        <v>0</v>
      </c>
      <c r="AU146" t="s">
        <v>3</v>
      </c>
      <c r="AV146">
        <v>0</v>
      </c>
      <c r="AW146">
        <v>2</v>
      </c>
      <c r="AX146">
        <v>65179682</v>
      </c>
      <c r="AY146">
        <v>1</v>
      </c>
      <c r="AZ146">
        <v>0</v>
      </c>
      <c r="BA146">
        <v>146</v>
      </c>
      <c r="BB146">
        <v>1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ROUND(Y146*Source!I115,7)</f>
        <v>0</v>
      </c>
      <c r="CY146">
        <f t="shared" si="49"/>
        <v>0</v>
      </c>
      <c r="CZ146">
        <f t="shared" si="50"/>
        <v>0</v>
      </c>
      <c r="DA146">
        <f t="shared" si="51"/>
        <v>1</v>
      </c>
      <c r="DB146">
        <f t="shared" si="44"/>
        <v>0</v>
      </c>
      <c r="DC146">
        <f t="shared" si="45"/>
        <v>0</v>
      </c>
      <c r="DD146" t="s">
        <v>3</v>
      </c>
      <c r="DE146" t="s">
        <v>3</v>
      </c>
      <c r="DF146">
        <f t="shared" si="54"/>
        <v>0</v>
      </c>
      <c r="DG146">
        <f t="shared" si="52"/>
        <v>0</v>
      </c>
      <c r="DH146">
        <f t="shared" si="46"/>
        <v>0</v>
      </c>
      <c r="DI146">
        <f t="shared" si="47"/>
        <v>0</v>
      </c>
      <c r="DJ146">
        <f t="shared" si="53"/>
        <v>0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ROW(Source!A116)</f>
        <v>116</v>
      </c>
      <c r="B147">
        <v>65178645</v>
      </c>
      <c r="C147">
        <v>65179242</v>
      </c>
      <c r="D147">
        <v>37077359</v>
      </c>
      <c r="E147">
        <v>108</v>
      </c>
      <c r="F147">
        <v>1</v>
      </c>
      <c r="G147">
        <v>1</v>
      </c>
      <c r="H147">
        <v>1</v>
      </c>
      <c r="I147" t="s">
        <v>414</v>
      </c>
      <c r="J147" t="s">
        <v>3</v>
      </c>
      <c r="K147" t="s">
        <v>415</v>
      </c>
      <c r="L147">
        <v>1191</v>
      </c>
      <c r="N147">
        <v>1013</v>
      </c>
      <c r="O147" t="s">
        <v>372</v>
      </c>
      <c r="P147" t="s">
        <v>372</v>
      </c>
      <c r="Q147">
        <v>1</v>
      </c>
      <c r="W147">
        <v>0</v>
      </c>
      <c r="X147">
        <v>432497713</v>
      </c>
      <c r="Y147">
        <f t="shared" si="43"/>
        <v>4.2699999999999996</v>
      </c>
      <c r="AA147">
        <v>0</v>
      </c>
      <c r="AB147">
        <v>0</v>
      </c>
      <c r="AC147">
        <v>0</v>
      </c>
      <c r="AD147">
        <v>534.48</v>
      </c>
      <c r="AE147">
        <v>0</v>
      </c>
      <c r="AF147">
        <v>0</v>
      </c>
      <c r="AG147">
        <v>0</v>
      </c>
      <c r="AH147">
        <v>534.48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0</v>
      </c>
      <c r="AP147">
        <v>0</v>
      </c>
      <c r="AQ147">
        <v>1</v>
      </c>
      <c r="AR147">
        <v>0</v>
      </c>
      <c r="AS147" t="s">
        <v>3</v>
      </c>
      <c r="AT147">
        <v>4.2699999999999996</v>
      </c>
      <c r="AU147" t="s">
        <v>3</v>
      </c>
      <c r="AV147">
        <v>1</v>
      </c>
      <c r="AW147">
        <v>2</v>
      </c>
      <c r="AX147">
        <v>65179254</v>
      </c>
      <c r="AY147">
        <v>1</v>
      </c>
      <c r="AZ147">
        <v>0</v>
      </c>
      <c r="BA147">
        <v>147</v>
      </c>
      <c r="BB147">
        <v>1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2282.2295999999997</v>
      </c>
      <c r="BN147">
        <v>4.2699999999999996</v>
      </c>
      <c r="BO147">
        <v>0</v>
      </c>
      <c r="BP147">
        <v>1</v>
      </c>
      <c r="BQ147">
        <v>0</v>
      </c>
      <c r="BR147">
        <v>0</v>
      </c>
      <c r="BS147">
        <v>0</v>
      </c>
      <c r="BT147">
        <v>2282.2295999999997</v>
      </c>
      <c r="BU147">
        <v>4.2699999999999996</v>
      </c>
      <c r="BV147">
        <v>0</v>
      </c>
      <c r="BW147">
        <v>1</v>
      </c>
      <c r="CU147">
        <f>ROUND(AT147*Source!I116*AH147*AL147,2)</f>
        <v>2282.23</v>
      </c>
      <c r="CV147">
        <f>ROUND(Y147*Source!I116,7)</f>
        <v>4.2699999999999996</v>
      </c>
      <c r="CW147">
        <v>0</v>
      </c>
      <c r="CX147">
        <f>ROUND(Y147*Source!I116,7)</f>
        <v>4.2699999999999996</v>
      </c>
      <c r="CY147">
        <f>AD147</f>
        <v>534.48</v>
      </c>
      <c r="CZ147">
        <f>AH147</f>
        <v>534.48</v>
      </c>
      <c r="DA147">
        <f>AL147</f>
        <v>1</v>
      </c>
      <c r="DB147">
        <f t="shared" si="44"/>
        <v>2282.23</v>
      </c>
      <c r="DC147">
        <f t="shared" si="45"/>
        <v>0</v>
      </c>
      <c r="DD147" t="s">
        <v>3</v>
      </c>
      <c r="DE147" t="s">
        <v>3</v>
      </c>
      <c r="DF147">
        <f t="shared" si="54"/>
        <v>0</v>
      </c>
      <c r="DG147">
        <f t="shared" si="52"/>
        <v>0</v>
      </c>
      <c r="DH147">
        <f t="shared" si="46"/>
        <v>0</v>
      </c>
      <c r="DI147">
        <f t="shared" si="47"/>
        <v>2282.23</v>
      </c>
      <c r="DJ147">
        <f>DI147</f>
        <v>2282.23</v>
      </c>
      <c r="DK147">
        <v>1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ROW(Source!A116)</f>
        <v>116</v>
      </c>
      <c r="B148">
        <v>65178645</v>
      </c>
      <c r="C148">
        <v>65179242</v>
      </c>
      <c r="D148">
        <v>37064876</v>
      </c>
      <c r="E148">
        <v>108</v>
      </c>
      <c r="F148">
        <v>1</v>
      </c>
      <c r="G148">
        <v>1</v>
      </c>
      <c r="H148">
        <v>1</v>
      </c>
      <c r="I148" t="s">
        <v>373</v>
      </c>
      <c r="J148" t="s">
        <v>3</v>
      </c>
      <c r="K148" t="s">
        <v>374</v>
      </c>
      <c r="L148">
        <v>1191</v>
      </c>
      <c r="N148">
        <v>1013</v>
      </c>
      <c r="O148" t="s">
        <v>372</v>
      </c>
      <c r="P148" t="s">
        <v>372</v>
      </c>
      <c r="Q148">
        <v>1</v>
      </c>
      <c r="W148">
        <v>0</v>
      </c>
      <c r="X148">
        <v>-1417349443</v>
      </c>
      <c r="Y148">
        <f t="shared" si="43"/>
        <v>3.73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0</v>
      </c>
      <c r="AP148">
        <v>0</v>
      </c>
      <c r="AQ148">
        <v>1</v>
      </c>
      <c r="AR148">
        <v>0</v>
      </c>
      <c r="AS148" t="s">
        <v>3</v>
      </c>
      <c r="AT148">
        <v>3.73</v>
      </c>
      <c r="AU148" t="s">
        <v>3</v>
      </c>
      <c r="AV148">
        <v>2</v>
      </c>
      <c r="AW148">
        <v>2</v>
      </c>
      <c r="AX148">
        <v>65179255</v>
      </c>
      <c r="AY148">
        <v>1</v>
      </c>
      <c r="AZ148">
        <v>0</v>
      </c>
      <c r="BA148">
        <v>148</v>
      </c>
      <c r="BB148">
        <v>1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V148">
        <v>0</v>
      </c>
      <c r="CW148">
        <v>0</v>
      </c>
      <c r="CX148">
        <f>ROUND(Y148*Source!I116,7)</f>
        <v>3.73</v>
      </c>
      <c r="CY148">
        <f>AD148</f>
        <v>0</v>
      </c>
      <c r="CZ148">
        <f>AH148</f>
        <v>0</v>
      </c>
      <c r="DA148">
        <f>AL148</f>
        <v>1</v>
      </c>
      <c r="DB148">
        <f t="shared" si="44"/>
        <v>0</v>
      </c>
      <c r="DC148">
        <f t="shared" si="45"/>
        <v>0</v>
      </c>
      <c r="DD148" t="s">
        <v>3</v>
      </c>
      <c r="DE148" t="s">
        <v>3</v>
      </c>
      <c r="DF148">
        <f t="shared" si="54"/>
        <v>0</v>
      </c>
      <c r="DG148">
        <f t="shared" si="52"/>
        <v>0</v>
      </c>
      <c r="DH148">
        <f t="shared" si="46"/>
        <v>0</v>
      </c>
      <c r="DI148">
        <f t="shared" si="47"/>
        <v>0</v>
      </c>
      <c r="DJ148">
        <f>DI148</f>
        <v>0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ROW(Source!A116)</f>
        <v>116</v>
      </c>
      <c r="B149">
        <v>65178645</v>
      </c>
      <c r="C149">
        <v>65179242</v>
      </c>
      <c r="D149">
        <v>56571417</v>
      </c>
      <c r="E149">
        <v>1</v>
      </c>
      <c r="F149">
        <v>1</v>
      </c>
      <c r="G149">
        <v>1</v>
      </c>
      <c r="H149">
        <v>2</v>
      </c>
      <c r="I149" t="s">
        <v>386</v>
      </c>
      <c r="J149" t="s">
        <v>387</v>
      </c>
      <c r="K149" t="s">
        <v>388</v>
      </c>
      <c r="L149">
        <v>1368</v>
      </c>
      <c r="N149">
        <v>1011</v>
      </c>
      <c r="O149" t="s">
        <v>378</v>
      </c>
      <c r="P149" t="s">
        <v>378</v>
      </c>
      <c r="Q149">
        <v>1</v>
      </c>
      <c r="W149">
        <v>0</v>
      </c>
      <c r="X149">
        <v>-848025172</v>
      </c>
      <c r="Y149">
        <f t="shared" si="43"/>
        <v>0.01</v>
      </c>
      <c r="AA149">
        <v>0</v>
      </c>
      <c r="AB149">
        <v>1551.19</v>
      </c>
      <c r="AC149">
        <v>658.94</v>
      </c>
      <c r="AD149">
        <v>0</v>
      </c>
      <c r="AE149">
        <v>0</v>
      </c>
      <c r="AF149">
        <v>1551.19</v>
      </c>
      <c r="AG149">
        <v>658.94</v>
      </c>
      <c r="AH149">
        <v>0</v>
      </c>
      <c r="AI149">
        <v>1</v>
      </c>
      <c r="AJ149">
        <v>1</v>
      </c>
      <c r="AK149">
        <v>1</v>
      </c>
      <c r="AL149">
        <v>1</v>
      </c>
      <c r="AM149">
        <v>-2</v>
      </c>
      <c r="AN149">
        <v>0</v>
      </c>
      <c r="AO149">
        <v>0</v>
      </c>
      <c r="AP149">
        <v>0</v>
      </c>
      <c r="AQ149">
        <v>1</v>
      </c>
      <c r="AR149">
        <v>0</v>
      </c>
      <c r="AS149" t="s">
        <v>3</v>
      </c>
      <c r="AT149">
        <v>0.01</v>
      </c>
      <c r="AU149" t="s">
        <v>3</v>
      </c>
      <c r="AV149">
        <v>1</v>
      </c>
      <c r="AW149">
        <v>2</v>
      </c>
      <c r="AX149">
        <v>65179256</v>
      </c>
      <c r="AY149">
        <v>1</v>
      </c>
      <c r="AZ149">
        <v>0</v>
      </c>
      <c r="BA149">
        <v>149</v>
      </c>
      <c r="BB149">
        <v>1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15.511900000000001</v>
      </c>
      <c r="BL149">
        <v>6.5894000000000004</v>
      </c>
      <c r="BM149">
        <v>0</v>
      </c>
      <c r="BN149">
        <v>0</v>
      </c>
      <c r="BO149">
        <v>0.01</v>
      </c>
      <c r="BP149">
        <v>1</v>
      </c>
      <c r="BQ149">
        <v>0</v>
      </c>
      <c r="BR149">
        <v>15.511900000000001</v>
      </c>
      <c r="BS149">
        <v>6.5894000000000004</v>
      </c>
      <c r="BT149">
        <v>0</v>
      </c>
      <c r="BU149">
        <v>0</v>
      </c>
      <c r="BV149">
        <v>0.01</v>
      </c>
      <c r="BW149">
        <v>1</v>
      </c>
      <c r="CV149">
        <v>0</v>
      </c>
      <c r="CW149">
        <f>ROUND(Y149*Source!I116*DO149,7)</f>
        <v>0.01</v>
      </c>
      <c r="CX149">
        <f>ROUND(Y149*Source!I116,7)</f>
        <v>0.01</v>
      </c>
      <c r="CY149">
        <f>AB149</f>
        <v>1551.19</v>
      </c>
      <c r="CZ149">
        <f>AF149</f>
        <v>1551.19</v>
      </c>
      <c r="DA149">
        <f>AJ149</f>
        <v>1</v>
      </c>
      <c r="DB149">
        <f t="shared" si="44"/>
        <v>15.51</v>
      </c>
      <c r="DC149">
        <f t="shared" si="45"/>
        <v>6.59</v>
      </c>
      <c r="DD149" t="s">
        <v>3</v>
      </c>
      <c r="DE149" t="s">
        <v>3</v>
      </c>
      <c r="DF149">
        <f t="shared" si="54"/>
        <v>0</v>
      </c>
      <c r="DG149">
        <f t="shared" si="52"/>
        <v>15.51</v>
      </c>
      <c r="DH149">
        <f t="shared" si="46"/>
        <v>6.59</v>
      </c>
      <c r="DI149">
        <f t="shared" si="47"/>
        <v>0</v>
      </c>
      <c r="DJ149">
        <f>DG149+DH149</f>
        <v>22.1</v>
      </c>
      <c r="DK149">
        <v>1</v>
      </c>
      <c r="DL149" t="s">
        <v>389</v>
      </c>
      <c r="DM149">
        <v>6</v>
      </c>
      <c r="DN149" t="s">
        <v>372</v>
      </c>
      <c r="DO149">
        <v>1</v>
      </c>
    </row>
    <row r="150" spans="1:119" x14ac:dyDescent="0.2">
      <c r="A150">
        <f>ROW(Source!A116)</f>
        <v>116</v>
      </c>
      <c r="B150">
        <v>65178645</v>
      </c>
      <c r="C150">
        <v>65179242</v>
      </c>
      <c r="D150">
        <v>56571773</v>
      </c>
      <c r="E150">
        <v>1</v>
      </c>
      <c r="F150">
        <v>1</v>
      </c>
      <c r="G150">
        <v>1</v>
      </c>
      <c r="H150">
        <v>2</v>
      </c>
      <c r="I150" t="s">
        <v>416</v>
      </c>
      <c r="J150" t="s">
        <v>417</v>
      </c>
      <c r="K150" t="s">
        <v>418</v>
      </c>
      <c r="L150">
        <v>1368</v>
      </c>
      <c r="N150">
        <v>1011</v>
      </c>
      <c r="O150" t="s">
        <v>378</v>
      </c>
      <c r="P150" t="s">
        <v>378</v>
      </c>
      <c r="Q150">
        <v>1</v>
      </c>
      <c r="W150">
        <v>0</v>
      </c>
      <c r="X150">
        <v>802529245</v>
      </c>
      <c r="Y150">
        <f t="shared" si="43"/>
        <v>3.71</v>
      </c>
      <c r="AA150">
        <v>0</v>
      </c>
      <c r="AB150">
        <v>2002.38</v>
      </c>
      <c r="AC150">
        <v>658.94</v>
      </c>
      <c r="AD150">
        <v>0</v>
      </c>
      <c r="AE150">
        <v>0</v>
      </c>
      <c r="AF150">
        <v>1472.34</v>
      </c>
      <c r="AG150">
        <v>658.94</v>
      </c>
      <c r="AH150">
        <v>0</v>
      </c>
      <c r="AI150">
        <v>1</v>
      </c>
      <c r="AJ150">
        <v>1.36</v>
      </c>
      <c r="AK150">
        <v>1</v>
      </c>
      <c r="AL150">
        <v>1</v>
      </c>
      <c r="AM150">
        <v>2</v>
      </c>
      <c r="AN150">
        <v>0</v>
      </c>
      <c r="AO150">
        <v>0</v>
      </c>
      <c r="AP150">
        <v>0</v>
      </c>
      <c r="AQ150">
        <v>1</v>
      </c>
      <c r="AR150">
        <v>0</v>
      </c>
      <c r="AS150" t="s">
        <v>3</v>
      </c>
      <c r="AT150">
        <v>3.71</v>
      </c>
      <c r="AU150" t="s">
        <v>3</v>
      </c>
      <c r="AV150">
        <v>1</v>
      </c>
      <c r="AW150">
        <v>2</v>
      </c>
      <c r="AX150">
        <v>65179257</v>
      </c>
      <c r="AY150">
        <v>1</v>
      </c>
      <c r="AZ150">
        <v>0</v>
      </c>
      <c r="BA150">
        <v>150</v>
      </c>
      <c r="BB150">
        <v>1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5462.3813999999993</v>
      </c>
      <c r="BL150">
        <v>2444.6674000000003</v>
      </c>
      <c r="BM150">
        <v>0</v>
      </c>
      <c r="BN150">
        <v>0</v>
      </c>
      <c r="BO150">
        <v>3.71</v>
      </c>
      <c r="BP150">
        <v>1</v>
      </c>
      <c r="BQ150">
        <v>0</v>
      </c>
      <c r="BR150">
        <v>5462.3813999999993</v>
      </c>
      <c r="BS150">
        <v>2444.6674000000003</v>
      </c>
      <c r="BT150">
        <v>0</v>
      </c>
      <c r="BU150">
        <v>0</v>
      </c>
      <c r="BV150">
        <v>3.71</v>
      </c>
      <c r="BW150">
        <v>1</v>
      </c>
      <c r="CV150">
        <v>0</v>
      </c>
      <c r="CW150">
        <f>ROUND(Y150*Source!I116*DO150,7)</f>
        <v>3.71</v>
      </c>
      <c r="CX150">
        <f>ROUND(Y150*Source!I116,7)</f>
        <v>3.71</v>
      </c>
      <c r="CY150">
        <f>AB150</f>
        <v>2002.38</v>
      </c>
      <c r="CZ150">
        <f>AF150</f>
        <v>1472.34</v>
      </c>
      <c r="DA150">
        <f>AJ150</f>
        <v>1.36</v>
      </c>
      <c r="DB150">
        <f t="shared" si="44"/>
        <v>5462.38</v>
      </c>
      <c r="DC150">
        <f t="shared" si="45"/>
        <v>2444.67</v>
      </c>
      <c r="DD150" t="s">
        <v>3</v>
      </c>
      <c r="DE150" t="s">
        <v>3</v>
      </c>
      <c r="DF150">
        <f t="shared" si="54"/>
        <v>0</v>
      </c>
      <c r="DG150">
        <f>ROUND(ROUND(AF150*AJ150,2)*CX150,2)</f>
        <v>7428.83</v>
      </c>
      <c r="DH150">
        <f t="shared" si="46"/>
        <v>2444.67</v>
      </c>
      <c r="DI150">
        <f t="shared" si="47"/>
        <v>0</v>
      </c>
      <c r="DJ150">
        <f>DG150+DH150</f>
        <v>9873.5</v>
      </c>
      <c r="DK150">
        <v>0</v>
      </c>
      <c r="DL150" t="s">
        <v>389</v>
      </c>
      <c r="DM150">
        <v>6</v>
      </c>
      <c r="DN150" t="s">
        <v>372</v>
      </c>
      <c r="DO150">
        <v>1</v>
      </c>
    </row>
    <row r="151" spans="1:119" x14ac:dyDescent="0.2">
      <c r="A151">
        <f>ROW(Source!A116)</f>
        <v>116</v>
      </c>
      <c r="B151">
        <v>65178645</v>
      </c>
      <c r="C151">
        <v>65179242</v>
      </c>
      <c r="D151">
        <v>56572833</v>
      </c>
      <c r="E151">
        <v>1</v>
      </c>
      <c r="F151">
        <v>1</v>
      </c>
      <c r="G151">
        <v>1</v>
      </c>
      <c r="H151">
        <v>2</v>
      </c>
      <c r="I151" t="s">
        <v>380</v>
      </c>
      <c r="J151" t="s">
        <v>381</v>
      </c>
      <c r="K151" t="s">
        <v>382</v>
      </c>
      <c r="L151">
        <v>1368</v>
      </c>
      <c r="N151">
        <v>1011</v>
      </c>
      <c r="O151" t="s">
        <v>378</v>
      </c>
      <c r="P151" t="s">
        <v>378</v>
      </c>
      <c r="Q151">
        <v>1</v>
      </c>
      <c r="W151">
        <v>0</v>
      </c>
      <c r="X151">
        <v>1230426758</v>
      </c>
      <c r="Y151">
        <f t="shared" si="43"/>
        <v>0.01</v>
      </c>
      <c r="AA151">
        <v>0</v>
      </c>
      <c r="AB151">
        <v>578.28</v>
      </c>
      <c r="AC151">
        <v>490.55</v>
      </c>
      <c r="AD151">
        <v>0</v>
      </c>
      <c r="AE151">
        <v>0</v>
      </c>
      <c r="AF151">
        <v>477.92</v>
      </c>
      <c r="AG151">
        <v>490.55</v>
      </c>
      <c r="AH151">
        <v>0</v>
      </c>
      <c r="AI151">
        <v>1</v>
      </c>
      <c r="AJ151">
        <v>1.21</v>
      </c>
      <c r="AK151">
        <v>1</v>
      </c>
      <c r="AL151">
        <v>1</v>
      </c>
      <c r="AM151">
        <v>2</v>
      </c>
      <c r="AN151">
        <v>0</v>
      </c>
      <c r="AO151">
        <v>0</v>
      </c>
      <c r="AP151">
        <v>0</v>
      </c>
      <c r="AQ151">
        <v>1</v>
      </c>
      <c r="AR151">
        <v>0</v>
      </c>
      <c r="AS151" t="s">
        <v>3</v>
      </c>
      <c r="AT151">
        <v>0.01</v>
      </c>
      <c r="AU151" t="s">
        <v>3</v>
      </c>
      <c r="AV151">
        <v>1</v>
      </c>
      <c r="AW151">
        <v>2</v>
      </c>
      <c r="AX151">
        <v>65179258</v>
      </c>
      <c r="AY151">
        <v>1</v>
      </c>
      <c r="AZ151">
        <v>0</v>
      </c>
      <c r="BA151">
        <v>151</v>
      </c>
      <c r="BB151">
        <v>1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4.7792000000000003</v>
      </c>
      <c r="BL151">
        <v>4.9055</v>
      </c>
      <c r="BM151">
        <v>0</v>
      </c>
      <c r="BN151">
        <v>0</v>
      </c>
      <c r="BO151">
        <v>0.01</v>
      </c>
      <c r="BP151">
        <v>1</v>
      </c>
      <c r="BQ151">
        <v>0</v>
      </c>
      <c r="BR151">
        <v>4.7792000000000003</v>
      </c>
      <c r="BS151">
        <v>4.9055</v>
      </c>
      <c r="BT151">
        <v>0</v>
      </c>
      <c r="BU151">
        <v>0</v>
      </c>
      <c r="BV151">
        <v>0.01</v>
      </c>
      <c r="BW151">
        <v>1</v>
      </c>
      <c r="CV151">
        <v>0</v>
      </c>
      <c r="CW151">
        <f>ROUND(Y151*Source!I116*DO151,7)</f>
        <v>0.01</v>
      </c>
      <c r="CX151">
        <f>ROUND(Y151*Source!I116,7)</f>
        <v>0.01</v>
      </c>
      <c r="CY151">
        <f>AB151</f>
        <v>578.28</v>
      </c>
      <c r="CZ151">
        <f>AF151</f>
        <v>477.92</v>
      </c>
      <c r="DA151">
        <f>AJ151</f>
        <v>1.21</v>
      </c>
      <c r="DB151">
        <f t="shared" si="44"/>
        <v>4.78</v>
      </c>
      <c r="DC151">
        <f t="shared" si="45"/>
        <v>4.91</v>
      </c>
      <c r="DD151" t="s">
        <v>3</v>
      </c>
      <c r="DE151" t="s">
        <v>3</v>
      </c>
      <c r="DF151">
        <f t="shared" si="54"/>
        <v>0</v>
      </c>
      <c r="DG151">
        <f>ROUND(ROUND(AF151*AJ151,2)*CX151,2)</f>
        <v>5.78</v>
      </c>
      <c r="DH151">
        <f t="shared" si="46"/>
        <v>4.91</v>
      </c>
      <c r="DI151">
        <f t="shared" si="47"/>
        <v>0</v>
      </c>
      <c r="DJ151">
        <f>DG151+DH151</f>
        <v>10.690000000000001</v>
      </c>
      <c r="DK151">
        <v>0</v>
      </c>
      <c r="DL151" t="s">
        <v>383</v>
      </c>
      <c r="DM151">
        <v>4</v>
      </c>
      <c r="DN151" t="s">
        <v>372</v>
      </c>
      <c r="DO151">
        <v>1</v>
      </c>
    </row>
    <row r="152" spans="1:119" x14ac:dyDescent="0.2">
      <c r="A152">
        <f>ROW(Source!A116)</f>
        <v>116</v>
      </c>
      <c r="B152">
        <v>65178645</v>
      </c>
      <c r="C152">
        <v>65179242</v>
      </c>
      <c r="D152">
        <v>56578363</v>
      </c>
      <c r="E152">
        <v>1</v>
      </c>
      <c r="F152">
        <v>1</v>
      </c>
      <c r="G152">
        <v>1</v>
      </c>
      <c r="H152">
        <v>3</v>
      </c>
      <c r="I152" t="s">
        <v>419</v>
      </c>
      <c r="J152" t="s">
        <v>420</v>
      </c>
      <c r="K152" t="s">
        <v>421</v>
      </c>
      <c r="L152">
        <v>1301</v>
      </c>
      <c r="N152">
        <v>1003</v>
      </c>
      <c r="O152" t="s">
        <v>422</v>
      </c>
      <c r="P152" t="s">
        <v>422</v>
      </c>
      <c r="Q152">
        <v>1</v>
      </c>
      <c r="W152">
        <v>0</v>
      </c>
      <c r="X152">
        <v>-1322345673</v>
      </c>
      <c r="Y152">
        <f t="shared" si="43"/>
        <v>29.09</v>
      </c>
      <c r="AA152">
        <v>0.77</v>
      </c>
      <c r="AB152">
        <v>0</v>
      </c>
      <c r="AC152">
        <v>0</v>
      </c>
      <c r="AD152">
        <v>0</v>
      </c>
      <c r="AE152">
        <v>0.5</v>
      </c>
      <c r="AF152">
        <v>0</v>
      </c>
      <c r="AG152">
        <v>0</v>
      </c>
      <c r="AH152">
        <v>0</v>
      </c>
      <c r="AI152">
        <v>1.53</v>
      </c>
      <c r="AJ152">
        <v>1</v>
      </c>
      <c r="AK152">
        <v>1</v>
      </c>
      <c r="AL152">
        <v>1</v>
      </c>
      <c r="AM152">
        <v>2</v>
      </c>
      <c r="AN152">
        <v>0</v>
      </c>
      <c r="AO152">
        <v>0</v>
      </c>
      <c r="AP152">
        <v>0</v>
      </c>
      <c r="AQ152">
        <v>1</v>
      </c>
      <c r="AR152">
        <v>0</v>
      </c>
      <c r="AS152" t="s">
        <v>3</v>
      </c>
      <c r="AT152">
        <v>29.09</v>
      </c>
      <c r="AU152" t="s">
        <v>3</v>
      </c>
      <c r="AV152">
        <v>0</v>
      </c>
      <c r="AW152">
        <v>2</v>
      </c>
      <c r="AX152">
        <v>65179259</v>
      </c>
      <c r="AY152">
        <v>1</v>
      </c>
      <c r="AZ152">
        <v>0</v>
      </c>
      <c r="BA152">
        <v>152</v>
      </c>
      <c r="BB152">
        <v>1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14.545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1</v>
      </c>
      <c r="BQ152">
        <v>14.545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1</v>
      </c>
      <c r="CV152">
        <v>0</v>
      </c>
      <c r="CW152">
        <v>0</v>
      </c>
      <c r="CX152">
        <f>ROUND(Y152*Source!I116,7)</f>
        <v>29.09</v>
      </c>
      <c r="CY152">
        <f t="shared" ref="CY152:CY157" si="55">AA152</f>
        <v>0.77</v>
      </c>
      <c r="CZ152">
        <f t="shared" ref="CZ152:CZ157" si="56">AE152</f>
        <v>0.5</v>
      </c>
      <c r="DA152">
        <f t="shared" ref="DA152:DA157" si="57">AI152</f>
        <v>1.53</v>
      </c>
      <c r="DB152">
        <f t="shared" si="44"/>
        <v>14.55</v>
      </c>
      <c r="DC152">
        <f t="shared" si="45"/>
        <v>0</v>
      </c>
      <c r="DD152" t="s">
        <v>3</v>
      </c>
      <c r="DE152" t="s">
        <v>3</v>
      </c>
      <c r="DF152">
        <f>ROUND(ROUND(AE152*AI152,2)*CX152,2)</f>
        <v>22.4</v>
      </c>
      <c r="DG152">
        <f t="shared" ref="DG152:DG160" si="58">ROUND(ROUND(AF152,2)*CX152,2)</f>
        <v>0</v>
      </c>
      <c r="DH152">
        <f t="shared" si="46"/>
        <v>0</v>
      </c>
      <c r="DI152">
        <f t="shared" si="47"/>
        <v>0</v>
      </c>
      <c r="DJ152">
        <f t="shared" ref="DJ152:DJ157" si="59">DF152</f>
        <v>22.4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ROW(Source!A116)</f>
        <v>116</v>
      </c>
      <c r="B153">
        <v>65178645</v>
      </c>
      <c r="C153">
        <v>65179242</v>
      </c>
      <c r="D153">
        <v>56580368</v>
      </c>
      <c r="E153">
        <v>1</v>
      </c>
      <c r="F153">
        <v>1</v>
      </c>
      <c r="G153">
        <v>1</v>
      </c>
      <c r="H153">
        <v>3</v>
      </c>
      <c r="I153" t="s">
        <v>411</v>
      </c>
      <c r="J153" t="s">
        <v>412</v>
      </c>
      <c r="K153" t="s">
        <v>413</v>
      </c>
      <c r="L153">
        <v>1346</v>
      </c>
      <c r="N153">
        <v>1009</v>
      </c>
      <c r="O153" t="s">
        <v>253</v>
      </c>
      <c r="P153" t="s">
        <v>253</v>
      </c>
      <c r="Q153">
        <v>1</v>
      </c>
      <c r="W153">
        <v>0</v>
      </c>
      <c r="X153">
        <v>-385218612</v>
      </c>
      <c r="Y153">
        <f t="shared" si="43"/>
        <v>0.02</v>
      </c>
      <c r="AA153">
        <v>201.17</v>
      </c>
      <c r="AB153">
        <v>0</v>
      </c>
      <c r="AC153">
        <v>0</v>
      </c>
      <c r="AD153">
        <v>0</v>
      </c>
      <c r="AE153">
        <v>174.93</v>
      </c>
      <c r="AF153">
        <v>0</v>
      </c>
      <c r="AG153">
        <v>0</v>
      </c>
      <c r="AH153">
        <v>0</v>
      </c>
      <c r="AI153">
        <v>1.1499999999999999</v>
      </c>
      <c r="AJ153">
        <v>1</v>
      </c>
      <c r="AK153">
        <v>1</v>
      </c>
      <c r="AL153">
        <v>1</v>
      </c>
      <c r="AM153">
        <v>2</v>
      </c>
      <c r="AN153">
        <v>0</v>
      </c>
      <c r="AO153">
        <v>0</v>
      </c>
      <c r="AP153">
        <v>0</v>
      </c>
      <c r="AQ153">
        <v>1</v>
      </c>
      <c r="AR153">
        <v>0</v>
      </c>
      <c r="AS153" t="s">
        <v>3</v>
      </c>
      <c r="AT153">
        <v>0.02</v>
      </c>
      <c r="AU153" t="s">
        <v>3</v>
      </c>
      <c r="AV153">
        <v>0</v>
      </c>
      <c r="AW153">
        <v>2</v>
      </c>
      <c r="AX153">
        <v>65179260</v>
      </c>
      <c r="AY153">
        <v>1</v>
      </c>
      <c r="AZ153">
        <v>0</v>
      </c>
      <c r="BA153">
        <v>153</v>
      </c>
      <c r="BB153">
        <v>1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3.4986000000000002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1</v>
      </c>
      <c r="BQ153">
        <v>3.4986000000000002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1</v>
      </c>
      <c r="CV153">
        <v>0</v>
      </c>
      <c r="CW153">
        <v>0</v>
      </c>
      <c r="CX153">
        <f>ROUND(Y153*Source!I116,7)</f>
        <v>0.02</v>
      </c>
      <c r="CY153">
        <f t="shared" si="55"/>
        <v>201.17</v>
      </c>
      <c r="CZ153">
        <f t="shared" si="56"/>
        <v>174.93</v>
      </c>
      <c r="DA153">
        <f t="shared" si="57"/>
        <v>1.1499999999999999</v>
      </c>
      <c r="DB153">
        <f t="shared" si="44"/>
        <v>3.5</v>
      </c>
      <c r="DC153">
        <f t="shared" si="45"/>
        <v>0</v>
      </c>
      <c r="DD153" t="s">
        <v>3</v>
      </c>
      <c r="DE153" t="s">
        <v>3</v>
      </c>
      <c r="DF153">
        <f>ROUND(ROUND(AE153*AI153,2)*CX153,2)</f>
        <v>4.0199999999999996</v>
      </c>
      <c r="DG153">
        <f t="shared" si="58"/>
        <v>0</v>
      </c>
      <c r="DH153">
        <f t="shared" si="46"/>
        <v>0</v>
      </c>
      <c r="DI153">
        <f t="shared" si="47"/>
        <v>0</v>
      </c>
      <c r="DJ153">
        <f t="shared" si="59"/>
        <v>4.0199999999999996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ROW(Source!A116)</f>
        <v>116</v>
      </c>
      <c r="B154">
        <v>65178645</v>
      </c>
      <c r="C154">
        <v>65179242</v>
      </c>
      <c r="D154">
        <v>56610084</v>
      </c>
      <c r="E154">
        <v>1</v>
      </c>
      <c r="F154">
        <v>1</v>
      </c>
      <c r="G154">
        <v>1</v>
      </c>
      <c r="H154">
        <v>3</v>
      </c>
      <c r="I154" t="s">
        <v>423</v>
      </c>
      <c r="J154" t="s">
        <v>424</v>
      </c>
      <c r="K154" t="s">
        <v>425</v>
      </c>
      <c r="L154">
        <v>1346</v>
      </c>
      <c r="N154">
        <v>1009</v>
      </c>
      <c r="O154" t="s">
        <v>253</v>
      </c>
      <c r="P154" t="s">
        <v>253</v>
      </c>
      <c r="Q154">
        <v>1</v>
      </c>
      <c r="W154">
        <v>0</v>
      </c>
      <c r="X154">
        <v>50985725</v>
      </c>
      <c r="Y154">
        <f t="shared" si="43"/>
        <v>0.13</v>
      </c>
      <c r="AA154">
        <v>104.64</v>
      </c>
      <c r="AB154">
        <v>0</v>
      </c>
      <c r="AC154">
        <v>0</v>
      </c>
      <c r="AD154">
        <v>0</v>
      </c>
      <c r="AE154">
        <v>79.88</v>
      </c>
      <c r="AF154">
        <v>0</v>
      </c>
      <c r="AG154">
        <v>0</v>
      </c>
      <c r="AH154">
        <v>0</v>
      </c>
      <c r="AI154">
        <v>1.31</v>
      </c>
      <c r="AJ154">
        <v>1</v>
      </c>
      <c r="AK154">
        <v>1</v>
      </c>
      <c r="AL154">
        <v>1</v>
      </c>
      <c r="AM154">
        <v>2</v>
      </c>
      <c r="AN154">
        <v>0</v>
      </c>
      <c r="AO154">
        <v>0</v>
      </c>
      <c r="AP154">
        <v>0</v>
      </c>
      <c r="AQ154">
        <v>1</v>
      </c>
      <c r="AR154">
        <v>0</v>
      </c>
      <c r="AS154" t="s">
        <v>3</v>
      </c>
      <c r="AT154">
        <v>0.13</v>
      </c>
      <c r="AU154" t="s">
        <v>3</v>
      </c>
      <c r="AV154">
        <v>0</v>
      </c>
      <c r="AW154">
        <v>2</v>
      </c>
      <c r="AX154">
        <v>65179261</v>
      </c>
      <c r="AY154">
        <v>1</v>
      </c>
      <c r="AZ154">
        <v>0</v>
      </c>
      <c r="BA154">
        <v>154</v>
      </c>
      <c r="BB154">
        <v>1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10.384399999999999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1</v>
      </c>
      <c r="BQ154">
        <v>10.384399999999999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1</v>
      </c>
      <c r="CV154">
        <v>0</v>
      </c>
      <c r="CW154">
        <v>0</v>
      </c>
      <c r="CX154">
        <f>ROUND(Y154*Source!I116,7)</f>
        <v>0.13</v>
      </c>
      <c r="CY154">
        <f t="shared" si="55"/>
        <v>104.64</v>
      </c>
      <c r="CZ154">
        <f t="shared" si="56"/>
        <v>79.88</v>
      </c>
      <c r="DA154">
        <f t="shared" si="57"/>
        <v>1.31</v>
      </c>
      <c r="DB154">
        <f t="shared" si="44"/>
        <v>10.38</v>
      </c>
      <c r="DC154">
        <f t="shared" si="45"/>
        <v>0</v>
      </c>
      <c r="DD154" t="s">
        <v>3</v>
      </c>
      <c r="DE154" t="s">
        <v>3</v>
      </c>
      <c r="DF154">
        <f>ROUND(ROUND(AE154*AI154,2)*CX154,2)</f>
        <v>13.6</v>
      </c>
      <c r="DG154">
        <f t="shared" si="58"/>
        <v>0</v>
      </c>
      <c r="DH154">
        <f t="shared" si="46"/>
        <v>0</v>
      </c>
      <c r="DI154">
        <f t="shared" si="47"/>
        <v>0</v>
      </c>
      <c r="DJ154">
        <f t="shared" si="59"/>
        <v>13.6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ROW(Source!A116)</f>
        <v>116</v>
      </c>
      <c r="B155">
        <v>65178645</v>
      </c>
      <c r="C155">
        <v>65179242</v>
      </c>
      <c r="D155">
        <v>56610130</v>
      </c>
      <c r="E155">
        <v>1</v>
      </c>
      <c r="F155">
        <v>1</v>
      </c>
      <c r="G155">
        <v>1</v>
      </c>
      <c r="H155">
        <v>3</v>
      </c>
      <c r="I155" t="s">
        <v>426</v>
      </c>
      <c r="J155" t="s">
        <v>427</v>
      </c>
      <c r="K155" t="s">
        <v>428</v>
      </c>
      <c r="L155">
        <v>1348</v>
      </c>
      <c r="N155">
        <v>1009</v>
      </c>
      <c r="O155" t="s">
        <v>244</v>
      </c>
      <c r="P155" t="s">
        <v>244</v>
      </c>
      <c r="Q155">
        <v>1000</v>
      </c>
      <c r="W155">
        <v>0</v>
      </c>
      <c r="X155">
        <v>-246350641</v>
      </c>
      <c r="Y155">
        <f t="shared" si="43"/>
        <v>2.0000000000000002E-5</v>
      </c>
      <c r="AA155">
        <v>100891.73</v>
      </c>
      <c r="AB155">
        <v>0</v>
      </c>
      <c r="AC155">
        <v>0</v>
      </c>
      <c r="AD155">
        <v>0</v>
      </c>
      <c r="AE155">
        <v>82698.14</v>
      </c>
      <c r="AF155">
        <v>0</v>
      </c>
      <c r="AG155">
        <v>0</v>
      </c>
      <c r="AH155">
        <v>0</v>
      </c>
      <c r="AI155">
        <v>1.22</v>
      </c>
      <c r="AJ155">
        <v>1</v>
      </c>
      <c r="AK155">
        <v>1</v>
      </c>
      <c r="AL155">
        <v>1</v>
      </c>
      <c r="AM155">
        <v>2</v>
      </c>
      <c r="AN155">
        <v>0</v>
      </c>
      <c r="AO155">
        <v>0</v>
      </c>
      <c r="AP155">
        <v>0</v>
      </c>
      <c r="AQ155">
        <v>1</v>
      </c>
      <c r="AR155">
        <v>0</v>
      </c>
      <c r="AS155" t="s">
        <v>3</v>
      </c>
      <c r="AT155">
        <v>2.0000000000000002E-5</v>
      </c>
      <c r="AU155" t="s">
        <v>3</v>
      </c>
      <c r="AV155">
        <v>0</v>
      </c>
      <c r="AW155">
        <v>2</v>
      </c>
      <c r="AX155">
        <v>65179262</v>
      </c>
      <c r="AY155">
        <v>1</v>
      </c>
      <c r="AZ155">
        <v>0</v>
      </c>
      <c r="BA155">
        <v>155</v>
      </c>
      <c r="BB155">
        <v>1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1.6539628000000002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1</v>
      </c>
      <c r="BQ155">
        <v>1.6539628000000002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1</v>
      </c>
      <c r="CV155">
        <v>0</v>
      </c>
      <c r="CW155">
        <v>0</v>
      </c>
      <c r="CX155">
        <f>ROUND(Y155*Source!I116,7)</f>
        <v>2.0000000000000002E-5</v>
      </c>
      <c r="CY155">
        <f t="shared" si="55"/>
        <v>100891.73</v>
      </c>
      <c r="CZ155">
        <f t="shared" si="56"/>
        <v>82698.14</v>
      </c>
      <c r="DA155">
        <f t="shared" si="57"/>
        <v>1.22</v>
      </c>
      <c r="DB155">
        <f t="shared" si="44"/>
        <v>1.65</v>
      </c>
      <c r="DC155">
        <f t="shared" si="45"/>
        <v>0</v>
      </c>
      <c r="DD155" t="s">
        <v>3</v>
      </c>
      <c r="DE155" t="s">
        <v>3</v>
      </c>
      <c r="DF155">
        <f>ROUND(ROUND(AE155*AI155,2)*CX155,2)</f>
        <v>2.02</v>
      </c>
      <c r="DG155">
        <f t="shared" si="58"/>
        <v>0</v>
      </c>
      <c r="DH155">
        <f t="shared" si="46"/>
        <v>0</v>
      </c>
      <c r="DI155">
        <f t="shared" si="47"/>
        <v>0</v>
      </c>
      <c r="DJ155">
        <f t="shared" si="59"/>
        <v>2.02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ROW(Source!A116)</f>
        <v>116</v>
      </c>
      <c r="B156">
        <v>65178645</v>
      </c>
      <c r="C156">
        <v>65179242</v>
      </c>
      <c r="D156">
        <v>56622749</v>
      </c>
      <c r="E156">
        <v>1</v>
      </c>
      <c r="F156">
        <v>1</v>
      </c>
      <c r="G156">
        <v>1</v>
      </c>
      <c r="H156">
        <v>3</v>
      </c>
      <c r="I156" t="s">
        <v>429</v>
      </c>
      <c r="J156" t="s">
        <v>430</v>
      </c>
      <c r="K156" t="s">
        <v>431</v>
      </c>
      <c r="L156">
        <v>1407</v>
      </c>
      <c r="N156">
        <v>1013</v>
      </c>
      <c r="O156" t="s">
        <v>432</v>
      </c>
      <c r="P156" t="s">
        <v>432</v>
      </c>
      <c r="Q156">
        <v>1</v>
      </c>
      <c r="W156">
        <v>0</v>
      </c>
      <c r="X156">
        <v>1796783163</v>
      </c>
      <c r="Y156">
        <f t="shared" si="43"/>
        <v>8.0000000000000002E-3</v>
      </c>
      <c r="AA156">
        <v>4134.6000000000004</v>
      </c>
      <c r="AB156">
        <v>0</v>
      </c>
      <c r="AC156">
        <v>0</v>
      </c>
      <c r="AD156">
        <v>0</v>
      </c>
      <c r="AE156">
        <v>3658.94</v>
      </c>
      <c r="AF156">
        <v>0</v>
      </c>
      <c r="AG156">
        <v>0</v>
      </c>
      <c r="AH156">
        <v>0</v>
      </c>
      <c r="AI156">
        <v>1.1299999999999999</v>
      </c>
      <c r="AJ156">
        <v>1</v>
      </c>
      <c r="AK156">
        <v>1</v>
      </c>
      <c r="AL156">
        <v>1</v>
      </c>
      <c r="AM156">
        <v>2</v>
      </c>
      <c r="AN156">
        <v>0</v>
      </c>
      <c r="AO156">
        <v>0</v>
      </c>
      <c r="AP156">
        <v>0</v>
      </c>
      <c r="AQ156">
        <v>1</v>
      </c>
      <c r="AR156">
        <v>0</v>
      </c>
      <c r="AS156" t="s">
        <v>3</v>
      </c>
      <c r="AT156">
        <v>8.0000000000000002E-3</v>
      </c>
      <c r="AU156" t="s">
        <v>3</v>
      </c>
      <c r="AV156">
        <v>0</v>
      </c>
      <c r="AW156">
        <v>2</v>
      </c>
      <c r="AX156">
        <v>65179263</v>
      </c>
      <c r="AY156">
        <v>1</v>
      </c>
      <c r="AZ156">
        <v>0</v>
      </c>
      <c r="BA156">
        <v>156</v>
      </c>
      <c r="BB156">
        <v>1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29.271520000000002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1</v>
      </c>
      <c r="BQ156">
        <v>29.271520000000002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1</v>
      </c>
      <c r="CV156">
        <v>0</v>
      </c>
      <c r="CW156">
        <v>0</v>
      </c>
      <c r="CX156">
        <f>ROUND(Y156*Source!I116,7)</f>
        <v>8.0000000000000002E-3</v>
      </c>
      <c r="CY156">
        <f t="shared" si="55"/>
        <v>4134.6000000000004</v>
      </c>
      <c r="CZ156">
        <f t="shared" si="56"/>
        <v>3658.94</v>
      </c>
      <c r="DA156">
        <f t="shared" si="57"/>
        <v>1.1299999999999999</v>
      </c>
      <c r="DB156">
        <f t="shared" si="44"/>
        <v>29.27</v>
      </c>
      <c r="DC156">
        <f t="shared" si="45"/>
        <v>0</v>
      </c>
      <c r="DD156" t="s">
        <v>3</v>
      </c>
      <c r="DE156" t="s">
        <v>3</v>
      </c>
      <c r="DF156">
        <f>ROUND(ROUND(AE156*AI156,2)*CX156,2)</f>
        <v>33.08</v>
      </c>
      <c r="DG156">
        <f t="shared" si="58"/>
        <v>0</v>
      </c>
      <c r="DH156">
        <f t="shared" si="46"/>
        <v>0</v>
      </c>
      <c r="DI156">
        <f t="shared" si="47"/>
        <v>0</v>
      </c>
      <c r="DJ156">
        <f t="shared" si="59"/>
        <v>33.08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ROW(Source!A116)</f>
        <v>116</v>
      </c>
      <c r="B157">
        <v>65178645</v>
      </c>
      <c r="C157">
        <v>65179242</v>
      </c>
      <c r="D157">
        <v>56223463</v>
      </c>
      <c r="E157">
        <v>108</v>
      </c>
      <c r="F157">
        <v>1</v>
      </c>
      <c r="G157">
        <v>1</v>
      </c>
      <c r="H157">
        <v>3</v>
      </c>
      <c r="I157" t="s">
        <v>406</v>
      </c>
      <c r="J157" t="s">
        <v>3</v>
      </c>
      <c r="K157" t="s">
        <v>407</v>
      </c>
      <c r="L157">
        <v>3277935</v>
      </c>
      <c r="N157">
        <v>1013</v>
      </c>
      <c r="O157" t="s">
        <v>408</v>
      </c>
      <c r="P157" t="s">
        <v>408</v>
      </c>
      <c r="Q157">
        <v>1</v>
      </c>
      <c r="W157">
        <v>0</v>
      </c>
      <c r="X157">
        <v>274903907</v>
      </c>
      <c r="Y157">
        <f t="shared" si="43"/>
        <v>2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0</v>
      </c>
      <c r="AP157">
        <v>0</v>
      </c>
      <c r="AQ157">
        <v>1</v>
      </c>
      <c r="AR157">
        <v>0</v>
      </c>
      <c r="AS157" t="s">
        <v>3</v>
      </c>
      <c r="AT157">
        <v>2</v>
      </c>
      <c r="AU157" t="s">
        <v>3</v>
      </c>
      <c r="AV157">
        <v>0</v>
      </c>
      <c r="AW157">
        <v>2</v>
      </c>
      <c r="AX157">
        <v>65179264</v>
      </c>
      <c r="AY157">
        <v>1</v>
      </c>
      <c r="AZ157">
        <v>0</v>
      </c>
      <c r="BA157">
        <v>157</v>
      </c>
      <c r="BB157">
        <v>1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V157">
        <v>0</v>
      </c>
      <c r="CW157">
        <v>0</v>
      </c>
      <c r="CX157">
        <f>ROUND(Y157*Source!I116,7)</f>
        <v>2</v>
      </c>
      <c r="CY157">
        <f t="shared" si="55"/>
        <v>0</v>
      </c>
      <c r="CZ157">
        <f t="shared" si="56"/>
        <v>0</v>
      </c>
      <c r="DA157">
        <f t="shared" si="57"/>
        <v>1</v>
      </c>
      <c r="DB157">
        <f t="shared" si="44"/>
        <v>0</v>
      </c>
      <c r="DC157">
        <f t="shared" si="45"/>
        <v>0</v>
      </c>
      <c r="DD157" t="s">
        <v>3</v>
      </c>
      <c r="DE157" t="s">
        <v>3</v>
      </c>
      <c r="DF157">
        <f t="shared" ref="DF157:DF162" si="60">ROUND(ROUND(AE157,2)*CX157,2)</f>
        <v>0</v>
      </c>
      <c r="DG157">
        <f t="shared" si="58"/>
        <v>0</v>
      </c>
      <c r="DH157">
        <f t="shared" si="46"/>
        <v>0</v>
      </c>
      <c r="DI157">
        <f t="shared" si="47"/>
        <v>0</v>
      </c>
      <c r="DJ157">
        <f t="shared" si="59"/>
        <v>0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ROW(Source!A117)</f>
        <v>117</v>
      </c>
      <c r="B158">
        <v>65178645</v>
      </c>
      <c r="C158">
        <v>65179301</v>
      </c>
      <c r="D158">
        <v>63884150</v>
      </c>
      <c r="E158">
        <v>112</v>
      </c>
      <c r="F158">
        <v>1</v>
      </c>
      <c r="G158">
        <v>1</v>
      </c>
      <c r="H158">
        <v>1</v>
      </c>
      <c r="I158" t="s">
        <v>433</v>
      </c>
      <c r="J158" t="s">
        <v>3</v>
      </c>
      <c r="K158" t="s">
        <v>519</v>
      </c>
      <c r="L158">
        <v>1191</v>
      </c>
      <c r="N158">
        <v>1013</v>
      </c>
      <c r="O158" t="s">
        <v>372</v>
      </c>
      <c r="P158" t="s">
        <v>372</v>
      </c>
      <c r="Q158">
        <v>1</v>
      </c>
      <c r="W158">
        <v>0</v>
      </c>
      <c r="X158">
        <v>44848675</v>
      </c>
      <c r="Y158">
        <f t="shared" ref="Y158:Y186" si="61">AT158</f>
        <v>10.3</v>
      </c>
      <c r="AA158">
        <v>0</v>
      </c>
      <c r="AB158">
        <v>0</v>
      </c>
      <c r="AC158">
        <v>0</v>
      </c>
      <c r="AD158">
        <v>479.56</v>
      </c>
      <c r="AE158">
        <v>0</v>
      </c>
      <c r="AF158">
        <v>0</v>
      </c>
      <c r="AG158">
        <v>0</v>
      </c>
      <c r="AH158">
        <v>479.56</v>
      </c>
      <c r="AI158">
        <v>1</v>
      </c>
      <c r="AJ158">
        <v>1</v>
      </c>
      <c r="AK158">
        <v>1</v>
      </c>
      <c r="AL158">
        <v>1</v>
      </c>
      <c r="AM158">
        <v>-2</v>
      </c>
      <c r="AN158">
        <v>0</v>
      </c>
      <c r="AO158">
        <v>0</v>
      </c>
      <c r="AP158">
        <v>1</v>
      </c>
      <c r="AQ158">
        <v>1</v>
      </c>
      <c r="AR158">
        <v>0</v>
      </c>
      <c r="AS158" t="s">
        <v>3</v>
      </c>
      <c r="AT158">
        <v>10.3</v>
      </c>
      <c r="AU158" t="s">
        <v>3</v>
      </c>
      <c r="AV158">
        <v>1</v>
      </c>
      <c r="AW158">
        <v>2</v>
      </c>
      <c r="AX158">
        <v>65179586</v>
      </c>
      <c r="AY158">
        <v>1</v>
      </c>
      <c r="AZ158">
        <v>0</v>
      </c>
      <c r="BA158">
        <v>158</v>
      </c>
      <c r="BB158">
        <v>1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4939.4680000000008</v>
      </c>
      <c r="BN158">
        <v>10.3</v>
      </c>
      <c r="BO158">
        <v>0</v>
      </c>
      <c r="BP158">
        <v>1</v>
      </c>
      <c r="BQ158">
        <v>0</v>
      </c>
      <c r="BR158">
        <v>0</v>
      </c>
      <c r="BS158">
        <v>0</v>
      </c>
      <c r="BT158">
        <v>4939.4680000000008</v>
      </c>
      <c r="BU158">
        <v>10.3</v>
      </c>
      <c r="BV158">
        <v>0</v>
      </c>
      <c r="BW158">
        <v>1</v>
      </c>
      <c r="CU158">
        <f>ROUND(AT158*Source!I117*AH158*AL158,2)</f>
        <v>5927.36</v>
      </c>
      <c r="CV158">
        <f>ROUND(Y158*Source!I117,7)</f>
        <v>12.36</v>
      </c>
      <c r="CW158">
        <v>0</v>
      </c>
      <c r="CX158">
        <f>ROUND(Y158*Source!I117,7)</f>
        <v>12.36</v>
      </c>
      <c r="CY158">
        <f>AD158</f>
        <v>479.56</v>
      </c>
      <c r="CZ158">
        <f>AH158</f>
        <v>479.56</v>
      </c>
      <c r="DA158">
        <f>AL158</f>
        <v>1</v>
      </c>
      <c r="DB158">
        <f t="shared" ref="DB158:DB186" si="62">ROUND(ROUND(AT158*CZ158,2),6)</f>
        <v>4939.47</v>
      </c>
      <c r="DC158">
        <f t="shared" ref="DC158:DC186" si="63">ROUND(ROUND(AT158*AG158,2),6)</f>
        <v>0</v>
      </c>
      <c r="DD158" t="s">
        <v>3</v>
      </c>
      <c r="DE158" t="s">
        <v>3</v>
      </c>
      <c r="DF158">
        <f t="shared" si="60"/>
        <v>0</v>
      </c>
      <c r="DG158">
        <f t="shared" si="58"/>
        <v>0</v>
      </c>
      <c r="DH158">
        <f t="shared" si="46"/>
        <v>0</v>
      </c>
      <c r="DI158">
        <f t="shared" si="47"/>
        <v>5927.36</v>
      </c>
      <c r="DJ158">
        <f>DI158</f>
        <v>5927.36</v>
      </c>
      <c r="DK158">
        <v>1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ROW(Source!A117)</f>
        <v>117</v>
      </c>
      <c r="B159">
        <v>65178645</v>
      </c>
      <c r="C159">
        <v>65179301</v>
      </c>
      <c r="D159">
        <v>63884368</v>
      </c>
      <c r="E159">
        <v>112</v>
      </c>
      <c r="F159">
        <v>1</v>
      </c>
      <c r="G159">
        <v>1</v>
      </c>
      <c r="H159">
        <v>1</v>
      </c>
      <c r="I159" t="s">
        <v>373</v>
      </c>
      <c r="J159" t="s">
        <v>3</v>
      </c>
      <c r="K159" t="s">
        <v>374</v>
      </c>
      <c r="L159">
        <v>1191</v>
      </c>
      <c r="N159">
        <v>1013</v>
      </c>
      <c r="O159" t="s">
        <v>372</v>
      </c>
      <c r="P159" t="s">
        <v>372</v>
      </c>
      <c r="Q159">
        <v>1</v>
      </c>
      <c r="W159">
        <v>0</v>
      </c>
      <c r="X159">
        <v>-1417349443</v>
      </c>
      <c r="Y159">
        <f t="shared" si="61"/>
        <v>0.54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M159">
        <v>-2</v>
      </c>
      <c r="AN159">
        <v>0</v>
      </c>
      <c r="AO159">
        <v>0</v>
      </c>
      <c r="AP159">
        <v>1</v>
      </c>
      <c r="AQ159">
        <v>1</v>
      </c>
      <c r="AR159">
        <v>0</v>
      </c>
      <c r="AS159" t="s">
        <v>3</v>
      </c>
      <c r="AT159">
        <v>0.54</v>
      </c>
      <c r="AU159" t="s">
        <v>3</v>
      </c>
      <c r="AV159">
        <v>2</v>
      </c>
      <c r="AW159">
        <v>2</v>
      </c>
      <c r="AX159">
        <v>65179587</v>
      </c>
      <c r="AY159">
        <v>1</v>
      </c>
      <c r="AZ159">
        <v>0</v>
      </c>
      <c r="BA159">
        <v>159</v>
      </c>
      <c r="BB159">
        <v>1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v>0</v>
      </c>
      <c r="CX159">
        <f>ROUND(Y159*Source!I117,7)</f>
        <v>0.64800000000000002</v>
      </c>
      <c r="CY159">
        <f>AD159</f>
        <v>0</v>
      </c>
      <c r="CZ159">
        <f>AH159</f>
        <v>0</v>
      </c>
      <c r="DA159">
        <f>AL159</f>
        <v>1</v>
      </c>
      <c r="DB159">
        <f t="shared" si="62"/>
        <v>0</v>
      </c>
      <c r="DC159">
        <f t="shared" si="63"/>
        <v>0</v>
      </c>
      <c r="DD159" t="s">
        <v>3</v>
      </c>
      <c r="DE159" t="s">
        <v>3</v>
      </c>
      <c r="DF159">
        <f t="shared" si="60"/>
        <v>0</v>
      </c>
      <c r="DG159">
        <f t="shared" si="58"/>
        <v>0</v>
      </c>
      <c r="DH159">
        <f t="shared" si="46"/>
        <v>0</v>
      </c>
      <c r="DI159">
        <f t="shared" si="47"/>
        <v>0</v>
      </c>
      <c r="DJ159">
        <f>DI159</f>
        <v>0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ROW(Source!A117)</f>
        <v>117</v>
      </c>
      <c r="B160">
        <v>65178645</v>
      </c>
      <c r="C160">
        <v>65179301</v>
      </c>
      <c r="D160">
        <v>64001515</v>
      </c>
      <c r="E160">
        <v>1</v>
      </c>
      <c r="F160">
        <v>1</v>
      </c>
      <c r="G160">
        <v>1</v>
      </c>
      <c r="H160">
        <v>2</v>
      </c>
      <c r="I160" t="s">
        <v>386</v>
      </c>
      <c r="J160" t="s">
        <v>387</v>
      </c>
      <c r="K160" t="s">
        <v>388</v>
      </c>
      <c r="L160">
        <v>1368</v>
      </c>
      <c r="N160">
        <v>1011</v>
      </c>
      <c r="O160" t="s">
        <v>378</v>
      </c>
      <c r="P160" t="s">
        <v>378</v>
      </c>
      <c r="Q160">
        <v>1</v>
      </c>
      <c r="W160">
        <v>0</v>
      </c>
      <c r="X160">
        <v>-613270886</v>
      </c>
      <c r="Y160">
        <f t="shared" si="61"/>
        <v>0.27</v>
      </c>
      <c r="AA160">
        <v>0</v>
      </c>
      <c r="AB160">
        <v>1551.19</v>
      </c>
      <c r="AC160">
        <v>658.94</v>
      </c>
      <c r="AD160">
        <v>0</v>
      </c>
      <c r="AE160">
        <v>0</v>
      </c>
      <c r="AF160">
        <v>1551.19</v>
      </c>
      <c r="AG160">
        <v>658.94</v>
      </c>
      <c r="AH160">
        <v>0</v>
      </c>
      <c r="AI160">
        <v>1</v>
      </c>
      <c r="AJ160">
        <v>1</v>
      </c>
      <c r="AK160">
        <v>1</v>
      </c>
      <c r="AL160">
        <v>1</v>
      </c>
      <c r="AM160">
        <v>-2</v>
      </c>
      <c r="AN160">
        <v>0</v>
      </c>
      <c r="AO160">
        <v>0</v>
      </c>
      <c r="AP160">
        <v>1</v>
      </c>
      <c r="AQ160">
        <v>1</v>
      </c>
      <c r="AR160">
        <v>0</v>
      </c>
      <c r="AS160" t="s">
        <v>3</v>
      </c>
      <c r="AT160">
        <v>0.27</v>
      </c>
      <c r="AU160" t="s">
        <v>3</v>
      </c>
      <c r="AV160">
        <v>1</v>
      </c>
      <c r="AW160">
        <v>2</v>
      </c>
      <c r="AX160">
        <v>65179588</v>
      </c>
      <c r="AY160">
        <v>1</v>
      </c>
      <c r="AZ160">
        <v>0</v>
      </c>
      <c r="BA160">
        <v>160</v>
      </c>
      <c r="BB160">
        <v>1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418.82130000000006</v>
      </c>
      <c r="BL160">
        <v>177.91380000000004</v>
      </c>
      <c r="BM160">
        <v>0</v>
      </c>
      <c r="BN160">
        <v>0</v>
      </c>
      <c r="BO160">
        <v>0.27</v>
      </c>
      <c r="BP160">
        <v>1</v>
      </c>
      <c r="BQ160">
        <v>0</v>
      </c>
      <c r="BR160">
        <v>418.82130000000006</v>
      </c>
      <c r="BS160">
        <v>177.91380000000004</v>
      </c>
      <c r="BT160">
        <v>0</v>
      </c>
      <c r="BU160">
        <v>0</v>
      </c>
      <c r="BV160">
        <v>0.27</v>
      </c>
      <c r="BW160">
        <v>1</v>
      </c>
      <c r="CV160">
        <v>0</v>
      </c>
      <c r="CW160">
        <f>ROUND(Y160*Source!I117*DO160,7)</f>
        <v>0.32400000000000001</v>
      </c>
      <c r="CX160">
        <f>ROUND(Y160*Source!I117,7)</f>
        <v>0.32400000000000001</v>
      </c>
      <c r="CY160">
        <f>AB160</f>
        <v>1551.19</v>
      </c>
      <c r="CZ160">
        <f>AF160</f>
        <v>1551.19</v>
      </c>
      <c r="DA160">
        <f>AJ160</f>
        <v>1</v>
      </c>
      <c r="DB160">
        <f t="shared" si="62"/>
        <v>418.82</v>
      </c>
      <c r="DC160">
        <f t="shared" si="63"/>
        <v>177.91</v>
      </c>
      <c r="DD160" t="s">
        <v>3</v>
      </c>
      <c r="DE160" t="s">
        <v>3</v>
      </c>
      <c r="DF160">
        <f t="shared" si="60"/>
        <v>0</v>
      </c>
      <c r="DG160">
        <f t="shared" si="58"/>
        <v>502.59</v>
      </c>
      <c r="DH160">
        <f t="shared" si="46"/>
        <v>213.5</v>
      </c>
      <c r="DI160">
        <f t="shared" si="47"/>
        <v>0</v>
      </c>
      <c r="DJ160">
        <f>DG160+DH160</f>
        <v>716.08999999999992</v>
      </c>
      <c r="DK160">
        <v>1</v>
      </c>
      <c r="DL160" t="s">
        <v>389</v>
      </c>
      <c r="DM160">
        <v>6</v>
      </c>
      <c r="DN160" t="s">
        <v>372</v>
      </c>
      <c r="DO160">
        <v>1</v>
      </c>
    </row>
    <row r="161" spans="1:119" x14ac:dyDescent="0.2">
      <c r="A161">
        <f>ROW(Source!A117)</f>
        <v>117</v>
      </c>
      <c r="B161">
        <v>65178645</v>
      </c>
      <c r="C161">
        <v>65179301</v>
      </c>
      <c r="D161">
        <v>64002400</v>
      </c>
      <c r="E161">
        <v>1</v>
      </c>
      <c r="F161">
        <v>1</v>
      </c>
      <c r="G161">
        <v>1</v>
      </c>
      <c r="H161">
        <v>2</v>
      </c>
      <c r="I161" t="s">
        <v>380</v>
      </c>
      <c r="J161" t="s">
        <v>381</v>
      </c>
      <c r="K161" t="s">
        <v>382</v>
      </c>
      <c r="L161">
        <v>1368</v>
      </c>
      <c r="N161">
        <v>1011</v>
      </c>
      <c r="O161" t="s">
        <v>378</v>
      </c>
      <c r="P161" t="s">
        <v>378</v>
      </c>
      <c r="Q161">
        <v>1</v>
      </c>
      <c r="W161">
        <v>0</v>
      </c>
      <c r="X161">
        <v>1032761012</v>
      </c>
      <c r="Y161">
        <f t="shared" si="61"/>
        <v>0.27</v>
      </c>
      <c r="AA161">
        <v>0</v>
      </c>
      <c r="AB161">
        <v>578.28</v>
      </c>
      <c r="AC161">
        <v>490.55</v>
      </c>
      <c r="AD161">
        <v>0</v>
      </c>
      <c r="AE161">
        <v>0</v>
      </c>
      <c r="AF161">
        <v>477.92</v>
      </c>
      <c r="AG161">
        <v>490.55</v>
      </c>
      <c r="AH161">
        <v>0</v>
      </c>
      <c r="AI161">
        <v>1</v>
      </c>
      <c r="AJ161">
        <v>1.21</v>
      </c>
      <c r="AK161">
        <v>1</v>
      </c>
      <c r="AL161">
        <v>1</v>
      </c>
      <c r="AM161">
        <v>2</v>
      </c>
      <c r="AN161">
        <v>0</v>
      </c>
      <c r="AO161">
        <v>0</v>
      </c>
      <c r="AP161">
        <v>1</v>
      </c>
      <c r="AQ161">
        <v>1</v>
      </c>
      <c r="AR161">
        <v>0</v>
      </c>
      <c r="AS161" t="s">
        <v>3</v>
      </c>
      <c r="AT161">
        <v>0.27</v>
      </c>
      <c r="AU161" t="s">
        <v>3</v>
      </c>
      <c r="AV161">
        <v>1</v>
      </c>
      <c r="AW161">
        <v>2</v>
      </c>
      <c r="AX161">
        <v>65179589</v>
      </c>
      <c r="AY161">
        <v>1</v>
      </c>
      <c r="AZ161">
        <v>0</v>
      </c>
      <c r="BA161">
        <v>161</v>
      </c>
      <c r="BB161">
        <v>1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129.03840000000002</v>
      </c>
      <c r="BL161">
        <v>132.44850000000002</v>
      </c>
      <c r="BM161">
        <v>0</v>
      </c>
      <c r="BN161">
        <v>0</v>
      </c>
      <c r="BO161">
        <v>0.27</v>
      </c>
      <c r="BP161">
        <v>1</v>
      </c>
      <c r="BQ161">
        <v>0</v>
      </c>
      <c r="BR161">
        <v>129.03840000000002</v>
      </c>
      <c r="BS161">
        <v>132.44850000000002</v>
      </c>
      <c r="BT161">
        <v>0</v>
      </c>
      <c r="BU161">
        <v>0</v>
      </c>
      <c r="BV161">
        <v>0.27</v>
      </c>
      <c r="BW161">
        <v>1</v>
      </c>
      <c r="CV161">
        <v>0</v>
      </c>
      <c r="CW161">
        <f>ROUND(Y161*Source!I117*DO161,7)</f>
        <v>0.32400000000000001</v>
      </c>
      <c r="CX161">
        <f>ROUND(Y161*Source!I117,7)</f>
        <v>0.32400000000000001</v>
      </c>
      <c r="CY161">
        <f>AB161</f>
        <v>578.28</v>
      </c>
      <c r="CZ161">
        <f>AF161</f>
        <v>477.92</v>
      </c>
      <c r="DA161">
        <f>AJ161</f>
        <v>1.21</v>
      </c>
      <c r="DB161">
        <f t="shared" si="62"/>
        <v>129.04</v>
      </c>
      <c r="DC161">
        <f t="shared" si="63"/>
        <v>132.44999999999999</v>
      </c>
      <c r="DD161" t="s">
        <v>3</v>
      </c>
      <c r="DE161" t="s">
        <v>3</v>
      </c>
      <c r="DF161">
        <f t="shared" si="60"/>
        <v>0</v>
      </c>
      <c r="DG161">
        <f>ROUND(ROUND(AF161*AJ161,2)*CX161,2)</f>
        <v>187.36</v>
      </c>
      <c r="DH161">
        <f t="shared" ref="DH161:DH186" si="64">ROUND(ROUND(AG161,2)*CX161,2)</f>
        <v>158.94</v>
      </c>
      <c r="DI161">
        <f t="shared" ref="DI161:DI186" si="65">ROUND(ROUND(AH161,2)*CX161,2)</f>
        <v>0</v>
      </c>
      <c r="DJ161">
        <f>DG161+DH161</f>
        <v>346.3</v>
      </c>
      <c r="DK161">
        <v>0</v>
      </c>
      <c r="DL161" t="s">
        <v>383</v>
      </c>
      <c r="DM161">
        <v>4</v>
      </c>
      <c r="DN161" t="s">
        <v>372</v>
      </c>
      <c r="DO161">
        <v>1</v>
      </c>
    </row>
    <row r="162" spans="1:119" x14ac:dyDescent="0.2">
      <c r="A162">
        <f>ROW(Source!A117)</f>
        <v>117</v>
      </c>
      <c r="B162">
        <v>65178645</v>
      </c>
      <c r="C162">
        <v>65179301</v>
      </c>
      <c r="D162">
        <v>64002592</v>
      </c>
      <c r="E162">
        <v>1</v>
      </c>
      <c r="F162">
        <v>1</v>
      </c>
      <c r="G162">
        <v>1</v>
      </c>
      <c r="H162">
        <v>2</v>
      </c>
      <c r="I162" t="s">
        <v>435</v>
      </c>
      <c r="J162" t="s">
        <v>436</v>
      </c>
      <c r="K162" t="s">
        <v>437</v>
      </c>
      <c r="L162">
        <v>1368</v>
      </c>
      <c r="N162">
        <v>1011</v>
      </c>
      <c r="O162" t="s">
        <v>378</v>
      </c>
      <c r="P162" t="s">
        <v>378</v>
      </c>
      <c r="Q162">
        <v>1</v>
      </c>
      <c r="W162">
        <v>0</v>
      </c>
      <c r="X162">
        <v>646454608</v>
      </c>
      <c r="Y162">
        <f t="shared" si="61"/>
        <v>1.51</v>
      </c>
      <c r="AA162">
        <v>0</v>
      </c>
      <c r="AB162">
        <v>26.32</v>
      </c>
      <c r="AC162">
        <v>0</v>
      </c>
      <c r="AD162">
        <v>0</v>
      </c>
      <c r="AE162">
        <v>0</v>
      </c>
      <c r="AF162">
        <v>26.32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M162">
        <v>-2</v>
      </c>
      <c r="AN162">
        <v>0</v>
      </c>
      <c r="AO162">
        <v>0</v>
      </c>
      <c r="AP162">
        <v>1</v>
      </c>
      <c r="AQ162">
        <v>1</v>
      </c>
      <c r="AR162">
        <v>0</v>
      </c>
      <c r="AS162" t="s">
        <v>3</v>
      </c>
      <c r="AT162">
        <v>1.51</v>
      </c>
      <c r="AU162" t="s">
        <v>3</v>
      </c>
      <c r="AV162">
        <v>1</v>
      </c>
      <c r="AW162">
        <v>2</v>
      </c>
      <c r="AX162">
        <v>65179590</v>
      </c>
      <c r="AY162">
        <v>1</v>
      </c>
      <c r="AZ162">
        <v>0</v>
      </c>
      <c r="BA162">
        <v>162</v>
      </c>
      <c r="BB162">
        <v>1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39.743200000000002</v>
      </c>
      <c r="BL162">
        <v>0</v>
      </c>
      <c r="BM162">
        <v>0</v>
      </c>
      <c r="BN162">
        <v>0</v>
      </c>
      <c r="BO162">
        <v>0</v>
      </c>
      <c r="BP162">
        <v>1</v>
      </c>
      <c r="BQ162">
        <v>0</v>
      </c>
      <c r="BR162">
        <v>39.743200000000002</v>
      </c>
      <c r="BS162">
        <v>0</v>
      </c>
      <c r="BT162">
        <v>0</v>
      </c>
      <c r="BU162">
        <v>0</v>
      </c>
      <c r="BV162">
        <v>0</v>
      </c>
      <c r="BW162">
        <v>1</v>
      </c>
      <c r="CV162">
        <v>0</v>
      </c>
      <c r="CW162">
        <f>ROUND(Y162*Source!I117*DO162,7)</f>
        <v>0</v>
      </c>
      <c r="CX162">
        <f>ROUND(Y162*Source!I117,7)</f>
        <v>1.8120000000000001</v>
      </c>
      <c r="CY162">
        <f>AB162</f>
        <v>26.32</v>
      </c>
      <c r="CZ162">
        <f>AF162</f>
        <v>26.32</v>
      </c>
      <c r="DA162">
        <f>AJ162</f>
        <v>1</v>
      </c>
      <c r="DB162">
        <f t="shared" si="62"/>
        <v>39.74</v>
      </c>
      <c r="DC162">
        <f t="shared" si="63"/>
        <v>0</v>
      </c>
      <c r="DD162" t="s">
        <v>3</v>
      </c>
      <c r="DE162" t="s">
        <v>3</v>
      </c>
      <c r="DF162">
        <f t="shared" si="60"/>
        <v>0</v>
      </c>
      <c r="DG162">
        <f t="shared" ref="DG162:DG168" si="66">ROUND(ROUND(AF162,2)*CX162,2)</f>
        <v>47.69</v>
      </c>
      <c r="DH162">
        <f t="shared" si="64"/>
        <v>0</v>
      </c>
      <c r="DI162">
        <f t="shared" si="65"/>
        <v>0</v>
      </c>
      <c r="DJ162">
        <f>DG162+DH162</f>
        <v>47.69</v>
      </c>
      <c r="DK162">
        <v>1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ROW(Source!A117)</f>
        <v>117</v>
      </c>
      <c r="B163">
        <v>65178645</v>
      </c>
      <c r="C163">
        <v>65179301</v>
      </c>
      <c r="D163">
        <v>63955524</v>
      </c>
      <c r="E163">
        <v>1</v>
      </c>
      <c r="F163">
        <v>1</v>
      </c>
      <c r="G163">
        <v>1</v>
      </c>
      <c r="H163">
        <v>3</v>
      </c>
      <c r="I163" t="s">
        <v>438</v>
      </c>
      <c r="J163" t="s">
        <v>439</v>
      </c>
      <c r="K163" t="s">
        <v>440</v>
      </c>
      <c r="L163">
        <v>1346</v>
      </c>
      <c r="N163">
        <v>1009</v>
      </c>
      <c r="O163" t="s">
        <v>253</v>
      </c>
      <c r="P163" t="s">
        <v>253</v>
      </c>
      <c r="Q163">
        <v>1</v>
      </c>
      <c r="W163">
        <v>0</v>
      </c>
      <c r="X163">
        <v>18064107</v>
      </c>
      <c r="Y163">
        <f t="shared" si="61"/>
        <v>0.72</v>
      </c>
      <c r="AA163">
        <v>147.85</v>
      </c>
      <c r="AB163">
        <v>0</v>
      </c>
      <c r="AC163">
        <v>0</v>
      </c>
      <c r="AD163">
        <v>0</v>
      </c>
      <c r="AE163">
        <v>155.63</v>
      </c>
      <c r="AF163">
        <v>0</v>
      </c>
      <c r="AG163">
        <v>0</v>
      </c>
      <c r="AH163">
        <v>0</v>
      </c>
      <c r="AI163">
        <v>0.95</v>
      </c>
      <c r="AJ163">
        <v>1</v>
      </c>
      <c r="AK163">
        <v>1</v>
      </c>
      <c r="AL163">
        <v>1</v>
      </c>
      <c r="AM163">
        <v>2</v>
      </c>
      <c r="AN163">
        <v>0</v>
      </c>
      <c r="AO163">
        <v>0</v>
      </c>
      <c r="AP163">
        <v>1</v>
      </c>
      <c r="AQ163">
        <v>1</v>
      </c>
      <c r="AR163">
        <v>0</v>
      </c>
      <c r="AS163" t="s">
        <v>3</v>
      </c>
      <c r="AT163">
        <v>0.72</v>
      </c>
      <c r="AU163" t="s">
        <v>3</v>
      </c>
      <c r="AV163">
        <v>0</v>
      </c>
      <c r="AW163">
        <v>2</v>
      </c>
      <c r="AX163">
        <v>65179591</v>
      </c>
      <c r="AY163">
        <v>1</v>
      </c>
      <c r="AZ163">
        <v>0</v>
      </c>
      <c r="BA163">
        <v>163</v>
      </c>
      <c r="BB163">
        <v>1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112.05359999999999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1</v>
      </c>
      <c r="BQ163">
        <v>112.05359999999999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1</v>
      </c>
      <c r="CV163">
        <v>0</v>
      </c>
      <c r="CW163">
        <v>0</v>
      </c>
      <c r="CX163">
        <f>ROUND(Y163*Source!I117,7)</f>
        <v>0.86399999999999999</v>
      </c>
      <c r="CY163">
        <f>AA163</f>
        <v>147.85</v>
      </c>
      <c r="CZ163">
        <f>AE163</f>
        <v>155.63</v>
      </c>
      <c r="DA163">
        <f>AI163</f>
        <v>0.95</v>
      </c>
      <c r="DB163">
        <f t="shared" si="62"/>
        <v>112.05</v>
      </c>
      <c r="DC163">
        <f t="shared" si="63"/>
        <v>0</v>
      </c>
      <c r="DD163" t="s">
        <v>3</v>
      </c>
      <c r="DE163" t="s">
        <v>3</v>
      </c>
      <c r="DF163">
        <f>ROUND(ROUND(AE163*AI163,2)*CX163,2)</f>
        <v>127.74</v>
      </c>
      <c r="DG163">
        <f t="shared" si="66"/>
        <v>0</v>
      </c>
      <c r="DH163">
        <f t="shared" si="64"/>
        <v>0</v>
      </c>
      <c r="DI163">
        <f t="shared" si="65"/>
        <v>0</v>
      </c>
      <c r="DJ163">
        <f>DF163</f>
        <v>127.74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ROW(Source!A117)</f>
        <v>117</v>
      </c>
      <c r="B164">
        <v>65178645</v>
      </c>
      <c r="C164">
        <v>65179301</v>
      </c>
      <c r="D164">
        <v>63972569</v>
      </c>
      <c r="E164">
        <v>1</v>
      </c>
      <c r="F164">
        <v>1</v>
      </c>
      <c r="G164">
        <v>1</v>
      </c>
      <c r="H164">
        <v>3</v>
      </c>
      <c r="I164" t="s">
        <v>441</v>
      </c>
      <c r="J164" t="s">
        <v>442</v>
      </c>
      <c r="K164" t="s">
        <v>443</v>
      </c>
      <c r="L164">
        <v>1346</v>
      </c>
      <c r="N164">
        <v>1009</v>
      </c>
      <c r="O164" t="s">
        <v>253</v>
      </c>
      <c r="P164" t="s">
        <v>253</v>
      </c>
      <c r="Q164">
        <v>1</v>
      </c>
      <c r="W164">
        <v>0</v>
      </c>
      <c r="X164">
        <v>-812931825</v>
      </c>
      <c r="Y164">
        <f t="shared" si="61"/>
        <v>2.4</v>
      </c>
      <c r="AA164">
        <v>1121.22</v>
      </c>
      <c r="AB164">
        <v>0</v>
      </c>
      <c r="AC164">
        <v>0</v>
      </c>
      <c r="AD164">
        <v>0</v>
      </c>
      <c r="AE164">
        <v>911.56</v>
      </c>
      <c r="AF164">
        <v>0</v>
      </c>
      <c r="AG164">
        <v>0</v>
      </c>
      <c r="AH164">
        <v>0</v>
      </c>
      <c r="AI164">
        <v>1.23</v>
      </c>
      <c r="AJ164">
        <v>1</v>
      </c>
      <c r="AK164">
        <v>1</v>
      </c>
      <c r="AL164">
        <v>1</v>
      </c>
      <c r="AM164">
        <v>2</v>
      </c>
      <c r="AN164">
        <v>0</v>
      </c>
      <c r="AO164">
        <v>0</v>
      </c>
      <c r="AP164">
        <v>1</v>
      </c>
      <c r="AQ164">
        <v>1</v>
      </c>
      <c r="AR164">
        <v>0</v>
      </c>
      <c r="AS164" t="s">
        <v>3</v>
      </c>
      <c r="AT164">
        <v>2.4</v>
      </c>
      <c r="AU164" t="s">
        <v>3</v>
      </c>
      <c r="AV164">
        <v>0</v>
      </c>
      <c r="AW164">
        <v>2</v>
      </c>
      <c r="AX164">
        <v>65179592</v>
      </c>
      <c r="AY164">
        <v>1</v>
      </c>
      <c r="AZ164">
        <v>0</v>
      </c>
      <c r="BA164">
        <v>164</v>
      </c>
      <c r="BB164">
        <v>1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2187.7439999999997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1</v>
      </c>
      <c r="BQ164">
        <v>2187.7439999999997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1</v>
      </c>
      <c r="CV164">
        <v>0</v>
      </c>
      <c r="CW164">
        <v>0</v>
      </c>
      <c r="CX164">
        <f>ROUND(Y164*Source!I117,7)</f>
        <v>2.88</v>
      </c>
      <c r="CY164">
        <f>AA164</f>
        <v>1121.22</v>
      </c>
      <c r="CZ164">
        <f>AE164</f>
        <v>911.56</v>
      </c>
      <c r="DA164">
        <f>AI164</f>
        <v>1.23</v>
      </c>
      <c r="DB164">
        <f t="shared" si="62"/>
        <v>2187.7399999999998</v>
      </c>
      <c r="DC164">
        <f t="shared" si="63"/>
        <v>0</v>
      </c>
      <c r="DD164" t="s">
        <v>3</v>
      </c>
      <c r="DE164" t="s">
        <v>3</v>
      </c>
      <c r="DF164">
        <f>ROUND(ROUND(AE164*AI164,2)*CX164,2)</f>
        <v>3229.11</v>
      </c>
      <c r="DG164">
        <f t="shared" si="66"/>
        <v>0</v>
      </c>
      <c r="DH164">
        <f t="shared" si="64"/>
        <v>0</v>
      </c>
      <c r="DI164">
        <f t="shared" si="65"/>
        <v>0</v>
      </c>
      <c r="DJ164">
        <f>DF164</f>
        <v>3229.11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ROW(Source!A117)</f>
        <v>117</v>
      </c>
      <c r="B165">
        <v>65178645</v>
      </c>
      <c r="C165">
        <v>65179301</v>
      </c>
      <c r="D165">
        <v>63889959</v>
      </c>
      <c r="E165">
        <v>112</v>
      </c>
      <c r="F165">
        <v>1</v>
      </c>
      <c r="G165">
        <v>1</v>
      </c>
      <c r="H165">
        <v>3</v>
      </c>
      <c r="I165" t="s">
        <v>406</v>
      </c>
      <c r="J165" t="s">
        <v>3</v>
      </c>
      <c r="K165" t="s">
        <v>407</v>
      </c>
      <c r="L165">
        <v>3277935</v>
      </c>
      <c r="N165">
        <v>1013</v>
      </c>
      <c r="O165" t="s">
        <v>408</v>
      </c>
      <c r="P165" t="s">
        <v>408</v>
      </c>
      <c r="Q165">
        <v>1</v>
      </c>
      <c r="W165">
        <v>0</v>
      </c>
      <c r="X165">
        <v>274903907</v>
      </c>
      <c r="Y165">
        <f t="shared" si="61"/>
        <v>2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0</v>
      </c>
      <c r="AO165">
        <v>0</v>
      </c>
      <c r="AP165">
        <v>0</v>
      </c>
      <c r="AQ165">
        <v>1</v>
      </c>
      <c r="AR165">
        <v>0</v>
      </c>
      <c r="AS165" t="s">
        <v>3</v>
      </c>
      <c r="AT165">
        <v>2</v>
      </c>
      <c r="AU165" t="s">
        <v>3</v>
      </c>
      <c r="AV165">
        <v>0</v>
      </c>
      <c r="AW165">
        <v>2</v>
      </c>
      <c r="AX165">
        <v>65179593</v>
      </c>
      <c r="AY165">
        <v>1</v>
      </c>
      <c r="AZ165">
        <v>0</v>
      </c>
      <c r="BA165">
        <v>165</v>
      </c>
      <c r="BB165">
        <v>1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V165">
        <v>0</v>
      </c>
      <c r="CW165">
        <v>0</v>
      </c>
      <c r="CX165">
        <f>ROUND(Y165*Source!I117,7)</f>
        <v>2.4</v>
      </c>
      <c r="CY165">
        <f>AA165</f>
        <v>0</v>
      </c>
      <c r="CZ165">
        <f>AE165</f>
        <v>0</v>
      </c>
      <c r="DA165">
        <f>AI165</f>
        <v>1</v>
      </c>
      <c r="DB165">
        <f t="shared" si="62"/>
        <v>0</v>
      </c>
      <c r="DC165">
        <f t="shared" si="63"/>
        <v>0</v>
      </c>
      <c r="DD165" t="s">
        <v>3</v>
      </c>
      <c r="DE165" t="s">
        <v>3</v>
      </c>
      <c r="DF165">
        <f t="shared" ref="DF165:DF170" si="67">ROUND(ROUND(AE165,2)*CX165,2)</f>
        <v>0</v>
      </c>
      <c r="DG165">
        <f t="shared" si="66"/>
        <v>0</v>
      </c>
      <c r="DH165">
        <f t="shared" si="64"/>
        <v>0</v>
      </c>
      <c r="DI165">
        <f t="shared" si="65"/>
        <v>0</v>
      </c>
      <c r="DJ165">
        <f>DF165</f>
        <v>0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ROW(Source!A118)</f>
        <v>118</v>
      </c>
      <c r="B166">
        <v>65178645</v>
      </c>
      <c r="C166">
        <v>65179337</v>
      </c>
      <c r="D166">
        <v>63884150</v>
      </c>
      <c r="E166">
        <v>112</v>
      </c>
      <c r="F166">
        <v>1</v>
      </c>
      <c r="G166">
        <v>1</v>
      </c>
      <c r="H166">
        <v>1</v>
      </c>
      <c r="I166" t="s">
        <v>433</v>
      </c>
      <c r="J166" t="s">
        <v>3</v>
      </c>
      <c r="K166" t="s">
        <v>519</v>
      </c>
      <c r="L166">
        <v>1191</v>
      </c>
      <c r="N166">
        <v>1013</v>
      </c>
      <c r="O166" t="s">
        <v>372</v>
      </c>
      <c r="P166" t="s">
        <v>372</v>
      </c>
      <c r="Q166">
        <v>1</v>
      </c>
      <c r="W166">
        <v>0</v>
      </c>
      <c r="X166">
        <v>44848675</v>
      </c>
      <c r="Y166">
        <f t="shared" si="61"/>
        <v>18.5</v>
      </c>
      <c r="AA166">
        <v>0</v>
      </c>
      <c r="AB166">
        <v>0</v>
      </c>
      <c r="AC166">
        <v>0</v>
      </c>
      <c r="AD166">
        <v>479.56</v>
      </c>
      <c r="AE166">
        <v>0</v>
      </c>
      <c r="AF166">
        <v>0</v>
      </c>
      <c r="AG166">
        <v>0</v>
      </c>
      <c r="AH166">
        <v>479.56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0</v>
      </c>
      <c r="AP166">
        <v>1</v>
      </c>
      <c r="AQ166">
        <v>1</v>
      </c>
      <c r="AR166">
        <v>0</v>
      </c>
      <c r="AS166" t="s">
        <v>3</v>
      </c>
      <c r="AT166">
        <v>18.5</v>
      </c>
      <c r="AU166" t="s">
        <v>3</v>
      </c>
      <c r="AV166">
        <v>1</v>
      </c>
      <c r="AW166">
        <v>2</v>
      </c>
      <c r="AX166">
        <v>65179611</v>
      </c>
      <c r="AY166">
        <v>1</v>
      </c>
      <c r="AZ166">
        <v>0</v>
      </c>
      <c r="BA166">
        <v>166</v>
      </c>
      <c r="BB166">
        <v>1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8871.86</v>
      </c>
      <c r="BN166">
        <v>18.5</v>
      </c>
      <c r="BO166">
        <v>0</v>
      </c>
      <c r="BP166">
        <v>1</v>
      </c>
      <c r="BQ166">
        <v>0</v>
      </c>
      <c r="BR166">
        <v>0</v>
      </c>
      <c r="BS166">
        <v>0</v>
      </c>
      <c r="BT166">
        <v>8871.86</v>
      </c>
      <c r="BU166">
        <v>18.5</v>
      </c>
      <c r="BV166">
        <v>0</v>
      </c>
      <c r="BW166">
        <v>1</v>
      </c>
      <c r="CU166">
        <f>ROUND(AT166*Source!I118*AH166*AL166,2)</f>
        <v>9581.61</v>
      </c>
      <c r="CV166">
        <f>ROUND(Y166*Source!I118,7)</f>
        <v>19.98</v>
      </c>
      <c r="CW166">
        <v>0</v>
      </c>
      <c r="CX166">
        <f>ROUND(Y166*Source!I118,7)</f>
        <v>19.98</v>
      </c>
      <c r="CY166">
        <f>AD166</f>
        <v>479.56</v>
      </c>
      <c r="CZ166">
        <f>AH166</f>
        <v>479.56</v>
      </c>
      <c r="DA166">
        <f>AL166</f>
        <v>1</v>
      </c>
      <c r="DB166">
        <f t="shared" si="62"/>
        <v>8871.86</v>
      </c>
      <c r="DC166">
        <f t="shared" si="63"/>
        <v>0</v>
      </c>
      <c r="DD166" t="s">
        <v>3</v>
      </c>
      <c r="DE166" t="s">
        <v>3</v>
      </c>
      <c r="DF166">
        <f t="shared" si="67"/>
        <v>0</v>
      </c>
      <c r="DG166">
        <f t="shared" si="66"/>
        <v>0</v>
      </c>
      <c r="DH166">
        <f t="shared" si="64"/>
        <v>0</v>
      </c>
      <c r="DI166">
        <f t="shared" si="65"/>
        <v>9581.61</v>
      </c>
      <c r="DJ166">
        <f>DI166</f>
        <v>9581.61</v>
      </c>
      <c r="DK166">
        <v>1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ROW(Source!A118)</f>
        <v>118</v>
      </c>
      <c r="B167">
        <v>65178645</v>
      </c>
      <c r="C167">
        <v>65179337</v>
      </c>
      <c r="D167">
        <v>63884368</v>
      </c>
      <c r="E167">
        <v>112</v>
      </c>
      <c r="F167">
        <v>1</v>
      </c>
      <c r="G167">
        <v>1</v>
      </c>
      <c r="H167">
        <v>1</v>
      </c>
      <c r="I167" t="s">
        <v>373</v>
      </c>
      <c r="J167" t="s">
        <v>3</v>
      </c>
      <c r="K167" t="s">
        <v>374</v>
      </c>
      <c r="L167">
        <v>1191</v>
      </c>
      <c r="N167">
        <v>1013</v>
      </c>
      <c r="O167" t="s">
        <v>372</v>
      </c>
      <c r="P167" t="s">
        <v>372</v>
      </c>
      <c r="Q167">
        <v>1</v>
      </c>
      <c r="W167">
        <v>0</v>
      </c>
      <c r="X167">
        <v>-1417349443</v>
      </c>
      <c r="Y167">
        <f t="shared" si="61"/>
        <v>0.34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0</v>
      </c>
      <c r="AP167">
        <v>1</v>
      </c>
      <c r="AQ167">
        <v>1</v>
      </c>
      <c r="AR167">
        <v>0</v>
      </c>
      <c r="AS167" t="s">
        <v>3</v>
      </c>
      <c r="AT167">
        <v>0.34</v>
      </c>
      <c r="AU167" t="s">
        <v>3</v>
      </c>
      <c r="AV167">
        <v>2</v>
      </c>
      <c r="AW167">
        <v>2</v>
      </c>
      <c r="AX167">
        <v>65179612</v>
      </c>
      <c r="AY167">
        <v>1</v>
      </c>
      <c r="AZ167">
        <v>0</v>
      </c>
      <c r="BA167">
        <v>167</v>
      </c>
      <c r="BB167">
        <v>1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V167">
        <v>0</v>
      </c>
      <c r="CW167">
        <v>0</v>
      </c>
      <c r="CX167">
        <f>ROUND(Y167*Source!I118,7)</f>
        <v>0.36720000000000003</v>
      </c>
      <c r="CY167">
        <f>AD167</f>
        <v>0</v>
      </c>
      <c r="CZ167">
        <f>AH167</f>
        <v>0</v>
      </c>
      <c r="DA167">
        <f>AL167</f>
        <v>1</v>
      </c>
      <c r="DB167">
        <f t="shared" si="62"/>
        <v>0</v>
      </c>
      <c r="DC167">
        <f t="shared" si="63"/>
        <v>0</v>
      </c>
      <c r="DD167" t="s">
        <v>3</v>
      </c>
      <c r="DE167" t="s">
        <v>3</v>
      </c>
      <c r="DF167">
        <f t="shared" si="67"/>
        <v>0</v>
      </c>
      <c r="DG167">
        <f t="shared" si="66"/>
        <v>0</v>
      </c>
      <c r="DH167">
        <f t="shared" si="64"/>
        <v>0</v>
      </c>
      <c r="DI167">
        <f t="shared" si="65"/>
        <v>0</v>
      </c>
      <c r="DJ167">
        <f>DI167</f>
        <v>0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ROW(Source!A118)</f>
        <v>118</v>
      </c>
      <c r="B168">
        <v>65178645</v>
      </c>
      <c r="C168">
        <v>65179337</v>
      </c>
      <c r="D168">
        <v>64001515</v>
      </c>
      <c r="E168">
        <v>1</v>
      </c>
      <c r="F168">
        <v>1</v>
      </c>
      <c r="G168">
        <v>1</v>
      </c>
      <c r="H168">
        <v>2</v>
      </c>
      <c r="I168" t="s">
        <v>386</v>
      </c>
      <c r="J168" t="s">
        <v>387</v>
      </c>
      <c r="K168" t="s">
        <v>388</v>
      </c>
      <c r="L168">
        <v>1368</v>
      </c>
      <c r="N168">
        <v>1011</v>
      </c>
      <c r="O168" t="s">
        <v>378</v>
      </c>
      <c r="P168" t="s">
        <v>378</v>
      </c>
      <c r="Q168">
        <v>1</v>
      </c>
      <c r="W168">
        <v>0</v>
      </c>
      <c r="X168">
        <v>-613270886</v>
      </c>
      <c r="Y168">
        <f t="shared" si="61"/>
        <v>0.17</v>
      </c>
      <c r="AA168">
        <v>0</v>
      </c>
      <c r="AB168">
        <v>1551.19</v>
      </c>
      <c r="AC168">
        <v>658.94</v>
      </c>
      <c r="AD168">
        <v>0</v>
      </c>
      <c r="AE168">
        <v>0</v>
      </c>
      <c r="AF168">
        <v>1551.19</v>
      </c>
      <c r="AG168">
        <v>658.94</v>
      </c>
      <c r="AH168">
        <v>0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0</v>
      </c>
      <c r="AP168">
        <v>1</v>
      </c>
      <c r="AQ168">
        <v>1</v>
      </c>
      <c r="AR168">
        <v>0</v>
      </c>
      <c r="AS168" t="s">
        <v>3</v>
      </c>
      <c r="AT168">
        <v>0.17</v>
      </c>
      <c r="AU168" t="s">
        <v>3</v>
      </c>
      <c r="AV168">
        <v>1</v>
      </c>
      <c r="AW168">
        <v>2</v>
      </c>
      <c r="AX168">
        <v>65179613</v>
      </c>
      <c r="AY168">
        <v>1</v>
      </c>
      <c r="AZ168">
        <v>0</v>
      </c>
      <c r="BA168">
        <v>168</v>
      </c>
      <c r="BB168">
        <v>1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263.70230000000004</v>
      </c>
      <c r="BL168">
        <v>112.01980000000002</v>
      </c>
      <c r="BM168">
        <v>0</v>
      </c>
      <c r="BN168">
        <v>0</v>
      </c>
      <c r="BO168">
        <v>0.17</v>
      </c>
      <c r="BP168">
        <v>1</v>
      </c>
      <c r="BQ168">
        <v>0</v>
      </c>
      <c r="BR168">
        <v>263.70230000000004</v>
      </c>
      <c r="BS168">
        <v>112.01980000000002</v>
      </c>
      <c r="BT168">
        <v>0</v>
      </c>
      <c r="BU168">
        <v>0</v>
      </c>
      <c r="BV168">
        <v>0.17</v>
      </c>
      <c r="BW168">
        <v>1</v>
      </c>
      <c r="CV168">
        <v>0</v>
      </c>
      <c r="CW168">
        <f>ROUND(Y168*Source!I118*DO168,7)</f>
        <v>0.18360000000000001</v>
      </c>
      <c r="CX168">
        <f>ROUND(Y168*Source!I118,7)</f>
        <v>0.18360000000000001</v>
      </c>
      <c r="CY168">
        <f>AB168</f>
        <v>1551.19</v>
      </c>
      <c r="CZ168">
        <f>AF168</f>
        <v>1551.19</v>
      </c>
      <c r="DA168">
        <f>AJ168</f>
        <v>1</v>
      </c>
      <c r="DB168">
        <f t="shared" si="62"/>
        <v>263.7</v>
      </c>
      <c r="DC168">
        <f t="shared" si="63"/>
        <v>112.02</v>
      </c>
      <c r="DD168" t="s">
        <v>3</v>
      </c>
      <c r="DE168" t="s">
        <v>3</v>
      </c>
      <c r="DF168">
        <f t="shared" si="67"/>
        <v>0</v>
      </c>
      <c r="DG168">
        <f t="shared" si="66"/>
        <v>284.8</v>
      </c>
      <c r="DH168">
        <f t="shared" si="64"/>
        <v>120.98</v>
      </c>
      <c r="DI168">
        <f t="shared" si="65"/>
        <v>0</v>
      </c>
      <c r="DJ168">
        <f>DG168+DH168</f>
        <v>405.78000000000003</v>
      </c>
      <c r="DK168">
        <v>1</v>
      </c>
      <c r="DL168" t="s">
        <v>389</v>
      </c>
      <c r="DM168">
        <v>6</v>
      </c>
      <c r="DN168" t="s">
        <v>372</v>
      </c>
      <c r="DO168">
        <v>1</v>
      </c>
    </row>
    <row r="169" spans="1:119" x14ac:dyDescent="0.2">
      <c r="A169">
        <f>ROW(Source!A118)</f>
        <v>118</v>
      </c>
      <c r="B169">
        <v>65178645</v>
      </c>
      <c r="C169">
        <v>65179337</v>
      </c>
      <c r="D169">
        <v>64002400</v>
      </c>
      <c r="E169">
        <v>1</v>
      </c>
      <c r="F169">
        <v>1</v>
      </c>
      <c r="G169">
        <v>1</v>
      </c>
      <c r="H169">
        <v>2</v>
      </c>
      <c r="I169" t="s">
        <v>380</v>
      </c>
      <c r="J169" t="s">
        <v>381</v>
      </c>
      <c r="K169" t="s">
        <v>382</v>
      </c>
      <c r="L169">
        <v>1368</v>
      </c>
      <c r="N169">
        <v>1011</v>
      </c>
      <c r="O169" t="s">
        <v>378</v>
      </c>
      <c r="P169" t="s">
        <v>378</v>
      </c>
      <c r="Q169">
        <v>1</v>
      </c>
      <c r="W169">
        <v>0</v>
      </c>
      <c r="X169">
        <v>1032761012</v>
      </c>
      <c r="Y169">
        <f t="shared" si="61"/>
        <v>0.17</v>
      </c>
      <c r="AA169">
        <v>0</v>
      </c>
      <c r="AB169">
        <v>578.28</v>
      </c>
      <c r="AC169">
        <v>490.55</v>
      </c>
      <c r="AD169">
        <v>0</v>
      </c>
      <c r="AE169">
        <v>0</v>
      </c>
      <c r="AF169">
        <v>477.92</v>
      </c>
      <c r="AG169">
        <v>490.55</v>
      </c>
      <c r="AH169">
        <v>0</v>
      </c>
      <c r="AI169">
        <v>1</v>
      </c>
      <c r="AJ169">
        <v>1.21</v>
      </c>
      <c r="AK169">
        <v>1</v>
      </c>
      <c r="AL169">
        <v>1</v>
      </c>
      <c r="AM169">
        <v>2</v>
      </c>
      <c r="AN169">
        <v>0</v>
      </c>
      <c r="AO169">
        <v>0</v>
      </c>
      <c r="AP169">
        <v>1</v>
      </c>
      <c r="AQ169">
        <v>1</v>
      </c>
      <c r="AR169">
        <v>0</v>
      </c>
      <c r="AS169" t="s">
        <v>3</v>
      </c>
      <c r="AT169">
        <v>0.17</v>
      </c>
      <c r="AU169" t="s">
        <v>3</v>
      </c>
      <c r="AV169">
        <v>1</v>
      </c>
      <c r="AW169">
        <v>2</v>
      </c>
      <c r="AX169">
        <v>65179614</v>
      </c>
      <c r="AY169">
        <v>1</v>
      </c>
      <c r="AZ169">
        <v>0</v>
      </c>
      <c r="BA169">
        <v>169</v>
      </c>
      <c r="BB169">
        <v>1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81.246400000000008</v>
      </c>
      <c r="BL169">
        <v>83.393500000000003</v>
      </c>
      <c r="BM169">
        <v>0</v>
      </c>
      <c r="BN169">
        <v>0</v>
      </c>
      <c r="BO169">
        <v>0.17</v>
      </c>
      <c r="BP169">
        <v>1</v>
      </c>
      <c r="BQ169">
        <v>0</v>
      </c>
      <c r="BR169">
        <v>81.246400000000008</v>
      </c>
      <c r="BS169">
        <v>83.393500000000003</v>
      </c>
      <c r="BT169">
        <v>0</v>
      </c>
      <c r="BU169">
        <v>0</v>
      </c>
      <c r="BV169">
        <v>0.17</v>
      </c>
      <c r="BW169">
        <v>1</v>
      </c>
      <c r="CV169">
        <v>0</v>
      </c>
      <c r="CW169">
        <f>ROUND(Y169*Source!I118*DO169,7)</f>
        <v>0.18360000000000001</v>
      </c>
      <c r="CX169">
        <f>ROUND(Y169*Source!I118,7)</f>
        <v>0.18360000000000001</v>
      </c>
      <c r="CY169">
        <f>AB169</f>
        <v>578.28</v>
      </c>
      <c r="CZ169">
        <f>AF169</f>
        <v>477.92</v>
      </c>
      <c r="DA169">
        <f>AJ169</f>
        <v>1.21</v>
      </c>
      <c r="DB169">
        <f t="shared" si="62"/>
        <v>81.25</v>
      </c>
      <c r="DC169">
        <f t="shared" si="63"/>
        <v>83.39</v>
      </c>
      <c r="DD169" t="s">
        <v>3</v>
      </c>
      <c r="DE169" t="s">
        <v>3</v>
      </c>
      <c r="DF169">
        <f t="shared" si="67"/>
        <v>0</v>
      </c>
      <c r="DG169">
        <f>ROUND(ROUND(AF169*AJ169,2)*CX169,2)</f>
        <v>106.17</v>
      </c>
      <c r="DH169">
        <f t="shared" si="64"/>
        <v>90.06</v>
      </c>
      <c r="DI169">
        <f t="shared" si="65"/>
        <v>0</v>
      </c>
      <c r="DJ169">
        <f>DG169+DH169</f>
        <v>196.23000000000002</v>
      </c>
      <c r="DK169">
        <v>0</v>
      </c>
      <c r="DL169" t="s">
        <v>383</v>
      </c>
      <c r="DM169">
        <v>4</v>
      </c>
      <c r="DN169" t="s">
        <v>372</v>
      </c>
      <c r="DO169">
        <v>1</v>
      </c>
    </row>
    <row r="170" spans="1:119" x14ac:dyDescent="0.2">
      <c r="A170">
        <f>ROW(Source!A118)</f>
        <v>118</v>
      </c>
      <c r="B170">
        <v>65178645</v>
      </c>
      <c r="C170">
        <v>65179337</v>
      </c>
      <c r="D170">
        <v>64002592</v>
      </c>
      <c r="E170">
        <v>1</v>
      </c>
      <c r="F170">
        <v>1</v>
      </c>
      <c r="G170">
        <v>1</v>
      </c>
      <c r="H170">
        <v>2</v>
      </c>
      <c r="I170" t="s">
        <v>435</v>
      </c>
      <c r="J170" t="s">
        <v>436</v>
      </c>
      <c r="K170" t="s">
        <v>437</v>
      </c>
      <c r="L170">
        <v>1368</v>
      </c>
      <c r="N170">
        <v>1011</v>
      </c>
      <c r="O170" t="s">
        <v>378</v>
      </c>
      <c r="P170" t="s">
        <v>378</v>
      </c>
      <c r="Q170">
        <v>1</v>
      </c>
      <c r="W170">
        <v>0</v>
      </c>
      <c r="X170">
        <v>646454608</v>
      </c>
      <c r="Y170">
        <f t="shared" si="61"/>
        <v>2.9</v>
      </c>
      <c r="AA170">
        <v>0</v>
      </c>
      <c r="AB170">
        <v>26.32</v>
      </c>
      <c r="AC170">
        <v>0</v>
      </c>
      <c r="AD170">
        <v>0</v>
      </c>
      <c r="AE170">
        <v>0</v>
      </c>
      <c r="AF170">
        <v>26.32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0</v>
      </c>
      <c r="AP170">
        <v>1</v>
      </c>
      <c r="AQ170">
        <v>1</v>
      </c>
      <c r="AR170">
        <v>0</v>
      </c>
      <c r="AS170" t="s">
        <v>3</v>
      </c>
      <c r="AT170">
        <v>2.9</v>
      </c>
      <c r="AU170" t="s">
        <v>3</v>
      </c>
      <c r="AV170">
        <v>1</v>
      </c>
      <c r="AW170">
        <v>2</v>
      </c>
      <c r="AX170">
        <v>65179615</v>
      </c>
      <c r="AY170">
        <v>1</v>
      </c>
      <c r="AZ170">
        <v>0</v>
      </c>
      <c r="BA170">
        <v>170</v>
      </c>
      <c r="BB170">
        <v>1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76.328000000000003</v>
      </c>
      <c r="BL170">
        <v>0</v>
      </c>
      <c r="BM170">
        <v>0</v>
      </c>
      <c r="BN170">
        <v>0</v>
      </c>
      <c r="BO170">
        <v>0</v>
      </c>
      <c r="BP170">
        <v>1</v>
      </c>
      <c r="BQ170">
        <v>0</v>
      </c>
      <c r="BR170">
        <v>76.328000000000003</v>
      </c>
      <c r="BS170">
        <v>0</v>
      </c>
      <c r="BT170">
        <v>0</v>
      </c>
      <c r="BU170">
        <v>0</v>
      </c>
      <c r="BV170">
        <v>0</v>
      </c>
      <c r="BW170">
        <v>1</v>
      </c>
      <c r="CV170">
        <v>0</v>
      </c>
      <c r="CW170">
        <f>ROUND(Y170*Source!I118*DO170,7)</f>
        <v>0</v>
      </c>
      <c r="CX170">
        <f>ROUND(Y170*Source!I118,7)</f>
        <v>3.1320000000000001</v>
      </c>
      <c r="CY170">
        <f>AB170</f>
        <v>26.32</v>
      </c>
      <c r="CZ170">
        <f>AF170</f>
        <v>26.32</v>
      </c>
      <c r="DA170">
        <f>AJ170</f>
        <v>1</v>
      </c>
      <c r="DB170">
        <f t="shared" si="62"/>
        <v>76.33</v>
      </c>
      <c r="DC170">
        <f t="shared" si="63"/>
        <v>0</v>
      </c>
      <c r="DD170" t="s">
        <v>3</v>
      </c>
      <c r="DE170" t="s">
        <v>3</v>
      </c>
      <c r="DF170">
        <f t="shared" si="67"/>
        <v>0</v>
      </c>
      <c r="DG170">
        <f t="shared" ref="DG170:DG186" si="68">ROUND(ROUND(AF170,2)*CX170,2)</f>
        <v>82.43</v>
      </c>
      <c r="DH170">
        <f t="shared" si="64"/>
        <v>0</v>
      </c>
      <c r="DI170">
        <f t="shared" si="65"/>
        <v>0</v>
      </c>
      <c r="DJ170">
        <f>DG170+DH170</f>
        <v>82.43</v>
      </c>
      <c r="DK170">
        <v>1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ROW(Source!A118)</f>
        <v>118</v>
      </c>
      <c r="B171">
        <v>65178645</v>
      </c>
      <c r="C171">
        <v>65179337</v>
      </c>
      <c r="D171">
        <v>63955524</v>
      </c>
      <c r="E171">
        <v>1</v>
      </c>
      <c r="F171">
        <v>1</v>
      </c>
      <c r="G171">
        <v>1</v>
      </c>
      <c r="H171">
        <v>3</v>
      </c>
      <c r="I171" t="s">
        <v>438</v>
      </c>
      <c r="J171" t="s">
        <v>439</v>
      </c>
      <c r="K171" t="s">
        <v>440</v>
      </c>
      <c r="L171">
        <v>1346</v>
      </c>
      <c r="N171">
        <v>1009</v>
      </c>
      <c r="O171" t="s">
        <v>253</v>
      </c>
      <c r="P171" t="s">
        <v>253</v>
      </c>
      <c r="Q171">
        <v>1</v>
      </c>
      <c r="W171">
        <v>0</v>
      </c>
      <c r="X171">
        <v>18064107</v>
      </c>
      <c r="Y171">
        <f t="shared" si="61"/>
        <v>0.9</v>
      </c>
      <c r="AA171">
        <v>147.85</v>
      </c>
      <c r="AB171">
        <v>0</v>
      </c>
      <c r="AC171">
        <v>0</v>
      </c>
      <c r="AD171">
        <v>0</v>
      </c>
      <c r="AE171">
        <v>155.63</v>
      </c>
      <c r="AF171">
        <v>0</v>
      </c>
      <c r="AG171">
        <v>0</v>
      </c>
      <c r="AH171">
        <v>0</v>
      </c>
      <c r="AI171">
        <v>0.95</v>
      </c>
      <c r="AJ171">
        <v>1</v>
      </c>
      <c r="AK171">
        <v>1</v>
      </c>
      <c r="AL171">
        <v>1</v>
      </c>
      <c r="AM171">
        <v>2</v>
      </c>
      <c r="AN171">
        <v>0</v>
      </c>
      <c r="AO171">
        <v>0</v>
      </c>
      <c r="AP171">
        <v>1</v>
      </c>
      <c r="AQ171">
        <v>1</v>
      </c>
      <c r="AR171">
        <v>0</v>
      </c>
      <c r="AS171" t="s">
        <v>3</v>
      </c>
      <c r="AT171">
        <v>0.9</v>
      </c>
      <c r="AU171" t="s">
        <v>3</v>
      </c>
      <c r="AV171">
        <v>0</v>
      </c>
      <c r="AW171">
        <v>2</v>
      </c>
      <c r="AX171">
        <v>65179616</v>
      </c>
      <c r="AY171">
        <v>1</v>
      </c>
      <c r="AZ171">
        <v>0</v>
      </c>
      <c r="BA171">
        <v>171</v>
      </c>
      <c r="BB171">
        <v>1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140.06700000000001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1</v>
      </c>
      <c r="BQ171">
        <v>140.06700000000001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1</v>
      </c>
      <c r="CV171">
        <v>0</v>
      </c>
      <c r="CW171">
        <v>0</v>
      </c>
      <c r="CX171">
        <f>ROUND(Y171*Source!I118,7)</f>
        <v>0.97199999999999998</v>
      </c>
      <c r="CY171">
        <f>AA171</f>
        <v>147.85</v>
      </c>
      <c r="CZ171">
        <f>AE171</f>
        <v>155.63</v>
      </c>
      <c r="DA171">
        <f>AI171</f>
        <v>0.95</v>
      </c>
      <c r="DB171">
        <f t="shared" si="62"/>
        <v>140.07</v>
      </c>
      <c r="DC171">
        <f t="shared" si="63"/>
        <v>0</v>
      </c>
      <c r="DD171" t="s">
        <v>3</v>
      </c>
      <c r="DE171" t="s">
        <v>3</v>
      </c>
      <c r="DF171">
        <f>ROUND(ROUND(AE171*AI171,2)*CX171,2)</f>
        <v>143.71</v>
      </c>
      <c r="DG171">
        <f t="shared" si="68"/>
        <v>0</v>
      </c>
      <c r="DH171">
        <f t="shared" si="64"/>
        <v>0</v>
      </c>
      <c r="DI171">
        <f t="shared" si="65"/>
        <v>0</v>
      </c>
      <c r="DJ171">
        <f>DF171</f>
        <v>143.71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ROW(Source!A118)</f>
        <v>118</v>
      </c>
      <c r="B172">
        <v>65178645</v>
      </c>
      <c r="C172">
        <v>65179337</v>
      </c>
      <c r="D172">
        <v>63963007</v>
      </c>
      <c r="E172">
        <v>1</v>
      </c>
      <c r="F172">
        <v>1</v>
      </c>
      <c r="G172">
        <v>1</v>
      </c>
      <c r="H172">
        <v>3</v>
      </c>
      <c r="I172" t="s">
        <v>444</v>
      </c>
      <c r="J172" t="s">
        <v>445</v>
      </c>
      <c r="K172" t="s">
        <v>446</v>
      </c>
      <c r="L172">
        <v>1348</v>
      </c>
      <c r="N172">
        <v>1009</v>
      </c>
      <c r="O172" t="s">
        <v>244</v>
      </c>
      <c r="P172" t="s">
        <v>244</v>
      </c>
      <c r="Q172">
        <v>1000</v>
      </c>
      <c r="W172">
        <v>0</v>
      </c>
      <c r="X172">
        <v>-1547460450</v>
      </c>
      <c r="Y172">
        <f t="shared" si="61"/>
        <v>4.0000000000000001E-3</v>
      </c>
      <c r="AA172">
        <v>61173.09</v>
      </c>
      <c r="AB172">
        <v>0</v>
      </c>
      <c r="AC172">
        <v>0</v>
      </c>
      <c r="AD172">
        <v>0</v>
      </c>
      <c r="AE172">
        <v>71131.5</v>
      </c>
      <c r="AF172">
        <v>0</v>
      </c>
      <c r="AG172">
        <v>0</v>
      </c>
      <c r="AH172">
        <v>0</v>
      </c>
      <c r="AI172">
        <v>0.86</v>
      </c>
      <c r="AJ172">
        <v>1</v>
      </c>
      <c r="AK172">
        <v>1</v>
      </c>
      <c r="AL172">
        <v>1</v>
      </c>
      <c r="AM172">
        <v>2</v>
      </c>
      <c r="AN172">
        <v>0</v>
      </c>
      <c r="AO172">
        <v>0</v>
      </c>
      <c r="AP172">
        <v>1</v>
      </c>
      <c r="AQ172">
        <v>1</v>
      </c>
      <c r="AR172">
        <v>0</v>
      </c>
      <c r="AS172" t="s">
        <v>3</v>
      </c>
      <c r="AT172">
        <v>4.0000000000000001E-3</v>
      </c>
      <c r="AU172" t="s">
        <v>3</v>
      </c>
      <c r="AV172">
        <v>0</v>
      </c>
      <c r="AW172">
        <v>2</v>
      </c>
      <c r="AX172">
        <v>65179617</v>
      </c>
      <c r="AY172">
        <v>1</v>
      </c>
      <c r="AZ172">
        <v>0</v>
      </c>
      <c r="BA172">
        <v>172</v>
      </c>
      <c r="BB172">
        <v>1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284.52600000000001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1</v>
      </c>
      <c r="BQ172">
        <v>284.52600000000001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1</v>
      </c>
      <c r="CV172">
        <v>0</v>
      </c>
      <c r="CW172">
        <v>0</v>
      </c>
      <c r="CX172">
        <f>ROUND(Y172*Source!I118,7)</f>
        <v>4.3200000000000001E-3</v>
      </c>
      <c r="CY172">
        <f>AA172</f>
        <v>61173.09</v>
      </c>
      <c r="CZ172">
        <f>AE172</f>
        <v>71131.5</v>
      </c>
      <c r="DA172">
        <f>AI172</f>
        <v>0.86</v>
      </c>
      <c r="DB172">
        <f t="shared" si="62"/>
        <v>284.52999999999997</v>
      </c>
      <c r="DC172">
        <f t="shared" si="63"/>
        <v>0</v>
      </c>
      <c r="DD172" t="s">
        <v>3</v>
      </c>
      <c r="DE172" t="s">
        <v>3</v>
      </c>
      <c r="DF172">
        <f>ROUND(ROUND(AE172*AI172,2)*CX172,2)</f>
        <v>264.27</v>
      </c>
      <c r="DG172">
        <f t="shared" si="68"/>
        <v>0</v>
      </c>
      <c r="DH172">
        <f t="shared" si="64"/>
        <v>0</v>
      </c>
      <c r="DI172">
        <f t="shared" si="65"/>
        <v>0</v>
      </c>
      <c r="DJ172">
        <f>DF172</f>
        <v>264.27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ROW(Source!A118)</f>
        <v>118</v>
      </c>
      <c r="B173">
        <v>65178645</v>
      </c>
      <c r="C173">
        <v>65179337</v>
      </c>
      <c r="D173">
        <v>63972569</v>
      </c>
      <c r="E173">
        <v>1</v>
      </c>
      <c r="F173">
        <v>1</v>
      </c>
      <c r="G173">
        <v>1</v>
      </c>
      <c r="H173">
        <v>3</v>
      </c>
      <c r="I173" t="s">
        <v>441</v>
      </c>
      <c r="J173" t="s">
        <v>442</v>
      </c>
      <c r="K173" t="s">
        <v>443</v>
      </c>
      <c r="L173">
        <v>1346</v>
      </c>
      <c r="N173">
        <v>1009</v>
      </c>
      <c r="O173" t="s">
        <v>253</v>
      </c>
      <c r="P173" t="s">
        <v>253</v>
      </c>
      <c r="Q173">
        <v>1</v>
      </c>
      <c r="W173">
        <v>0</v>
      </c>
      <c r="X173">
        <v>-812931825</v>
      </c>
      <c r="Y173">
        <f t="shared" si="61"/>
        <v>2.4</v>
      </c>
      <c r="AA173">
        <v>1121.22</v>
      </c>
      <c r="AB173">
        <v>0</v>
      </c>
      <c r="AC173">
        <v>0</v>
      </c>
      <c r="AD173">
        <v>0</v>
      </c>
      <c r="AE173">
        <v>911.56</v>
      </c>
      <c r="AF173">
        <v>0</v>
      </c>
      <c r="AG173">
        <v>0</v>
      </c>
      <c r="AH173">
        <v>0</v>
      </c>
      <c r="AI173">
        <v>1.23</v>
      </c>
      <c r="AJ173">
        <v>1</v>
      </c>
      <c r="AK173">
        <v>1</v>
      </c>
      <c r="AL173">
        <v>1</v>
      </c>
      <c r="AM173">
        <v>2</v>
      </c>
      <c r="AN173">
        <v>0</v>
      </c>
      <c r="AO173">
        <v>0</v>
      </c>
      <c r="AP173">
        <v>1</v>
      </c>
      <c r="AQ173">
        <v>1</v>
      </c>
      <c r="AR173">
        <v>0</v>
      </c>
      <c r="AS173" t="s">
        <v>3</v>
      </c>
      <c r="AT173">
        <v>2.4</v>
      </c>
      <c r="AU173" t="s">
        <v>3</v>
      </c>
      <c r="AV173">
        <v>0</v>
      </c>
      <c r="AW173">
        <v>2</v>
      </c>
      <c r="AX173">
        <v>65179618</v>
      </c>
      <c r="AY173">
        <v>1</v>
      </c>
      <c r="AZ173">
        <v>0</v>
      </c>
      <c r="BA173">
        <v>173</v>
      </c>
      <c r="BB173">
        <v>1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2187.7439999999997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1</v>
      </c>
      <c r="BQ173">
        <v>2187.7439999999997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1</v>
      </c>
      <c r="CV173">
        <v>0</v>
      </c>
      <c r="CW173">
        <v>0</v>
      </c>
      <c r="CX173">
        <f>ROUND(Y173*Source!I118,7)</f>
        <v>2.5920000000000001</v>
      </c>
      <c r="CY173">
        <f>AA173</f>
        <v>1121.22</v>
      </c>
      <c r="CZ173">
        <f>AE173</f>
        <v>911.56</v>
      </c>
      <c r="DA173">
        <f>AI173</f>
        <v>1.23</v>
      </c>
      <c r="DB173">
        <f t="shared" si="62"/>
        <v>2187.7399999999998</v>
      </c>
      <c r="DC173">
        <f t="shared" si="63"/>
        <v>0</v>
      </c>
      <c r="DD173" t="s">
        <v>3</v>
      </c>
      <c r="DE173" t="s">
        <v>3</v>
      </c>
      <c r="DF173">
        <f>ROUND(ROUND(AE173*AI173,2)*CX173,2)</f>
        <v>2906.2</v>
      </c>
      <c r="DG173">
        <f t="shared" si="68"/>
        <v>0</v>
      </c>
      <c r="DH173">
        <f t="shared" si="64"/>
        <v>0</v>
      </c>
      <c r="DI173">
        <f t="shared" si="65"/>
        <v>0</v>
      </c>
      <c r="DJ173">
        <f>DF173</f>
        <v>2906.2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ROW(Source!A118)</f>
        <v>118</v>
      </c>
      <c r="B174">
        <v>65178645</v>
      </c>
      <c r="C174">
        <v>65179337</v>
      </c>
      <c r="D174">
        <v>63889959</v>
      </c>
      <c r="E174">
        <v>112</v>
      </c>
      <c r="F174">
        <v>1</v>
      </c>
      <c r="G174">
        <v>1</v>
      </c>
      <c r="H174">
        <v>3</v>
      </c>
      <c r="I174" t="s">
        <v>406</v>
      </c>
      <c r="J174" t="s">
        <v>3</v>
      </c>
      <c r="K174" t="s">
        <v>407</v>
      </c>
      <c r="L174">
        <v>3277935</v>
      </c>
      <c r="N174">
        <v>1013</v>
      </c>
      <c r="O174" t="s">
        <v>408</v>
      </c>
      <c r="P174" t="s">
        <v>408</v>
      </c>
      <c r="Q174">
        <v>1</v>
      </c>
      <c r="W174">
        <v>0</v>
      </c>
      <c r="X174">
        <v>274903907</v>
      </c>
      <c r="Y174">
        <f t="shared" si="61"/>
        <v>2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0</v>
      </c>
      <c r="AP174">
        <v>0</v>
      </c>
      <c r="AQ174">
        <v>1</v>
      </c>
      <c r="AR174">
        <v>0</v>
      </c>
      <c r="AS174" t="s">
        <v>3</v>
      </c>
      <c r="AT174">
        <v>2</v>
      </c>
      <c r="AU174" t="s">
        <v>3</v>
      </c>
      <c r="AV174">
        <v>0</v>
      </c>
      <c r="AW174">
        <v>2</v>
      </c>
      <c r="AX174">
        <v>65179619</v>
      </c>
      <c r="AY174">
        <v>1</v>
      </c>
      <c r="AZ174">
        <v>0</v>
      </c>
      <c r="BA174">
        <v>174</v>
      </c>
      <c r="BB174">
        <v>1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V174">
        <v>0</v>
      </c>
      <c r="CW174">
        <v>0</v>
      </c>
      <c r="CX174">
        <f>ROUND(Y174*Source!I118,7)</f>
        <v>2.16</v>
      </c>
      <c r="CY174">
        <f>AA174</f>
        <v>0</v>
      </c>
      <c r="CZ174">
        <f>AE174</f>
        <v>0</v>
      </c>
      <c r="DA174">
        <f>AI174</f>
        <v>1</v>
      </c>
      <c r="DB174">
        <f t="shared" si="62"/>
        <v>0</v>
      </c>
      <c r="DC174">
        <f t="shared" si="63"/>
        <v>0</v>
      </c>
      <c r="DD174" t="s">
        <v>3</v>
      </c>
      <c r="DE174" t="s">
        <v>3</v>
      </c>
      <c r="DF174">
        <f t="shared" ref="DF174:DF186" si="69">ROUND(ROUND(AE174,2)*CX174,2)</f>
        <v>0</v>
      </c>
      <c r="DG174">
        <f t="shared" si="68"/>
        <v>0</v>
      </c>
      <c r="DH174">
        <f t="shared" si="64"/>
        <v>0</v>
      </c>
      <c r="DI174">
        <f t="shared" si="65"/>
        <v>0</v>
      </c>
      <c r="DJ174">
        <f>DF174</f>
        <v>0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ROW(Source!A206)</f>
        <v>206</v>
      </c>
      <c r="B175">
        <v>65178645</v>
      </c>
      <c r="C175">
        <v>65179485</v>
      </c>
      <c r="D175">
        <v>63884340</v>
      </c>
      <c r="E175">
        <v>112</v>
      </c>
      <c r="F175">
        <v>1</v>
      </c>
      <c r="G175">
        <v>1</v>
      </c>
      <c r="H175">
        <v>1</v>
      </c>
      <c r="I175" t="s">
        <v>520</v>
      </c>
      <c r="J175" t="s">
        <v>3</v>
      </c>
      <c r="K175" t="s">
        <v>521</v>
      </c>
      <c r="L175">
        <v>1369</v>
      </c>
      <c r="N175">
        <v>1013</v>
      </c>
      <c r="O175" t="s">
        <v>488</v>
      </c>
      <c r="P175" t="s">
        <v>488</v>
      </c>
      <c r="Q175">
        <v>1</v>
      </c>
      <c r="W175">
        <v>0</v>
      </c>
      <c r="X175">
        <v>286205319</v>
      </c>
      <c r="Y175">
        <f t="shared" si="61"/>
        <v>0.41</v>
      </c>
      <c r="AA175">
        <v>0</v>
      </c>
      <c r="AB175">
        <v>0</v>
      </c>
      <c r="AC175">
        <v>0</v>
      </c>
      <c r="AD175">
        <v>658.94</v>
      </c>
      <c r="AE175">
        <v>0</v>
      </c>
      <c r="AF175">
        <v>0</v>
      </c>
      <c r="AG175">
        <v>0</v>
      </c>
      <c r="AH175">
        <v>658.94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0</v>
      </c>
      <c r="AP175">
        <v>1</v>
      </c>
      <c r="AQ175">
        <v>1</v>
      </c>
      <c r="AR175">
        <v>0</v>
      </c>
      <c r="AS175" t="s">
        <v>3</v>
      </c>
      <c r="AT175">
        <v>0.41</v>
      </c>
      <c r="AU175" t="s">
        <v>3</v>
      </c>
      <c r="AV175">
        <v>1</v>
      </c>
      <c r="AW175">
        <v>2</v>
      </c>
      <c r="AX175">
        <v>65179599</v>
      </c>
      <c r="AY175">
        <v>1</v>
      </c>
      <c r="AZ175">
        <v>0</v>
      </c>
      <c r="BA175">
        <v>175</v>
      </c>
      <c r="BB175">
        <v>1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270.16540000000003</v>
      </c>
      <c r="BN175">
        <v>0.41</v>
      </c>
      <c r="BO175">
        <v>0</v>
      </c>
      <c r="BP175">
        <v>1</v>
      </c>
      <c r="BQ175">
        <v>0</v>
      </c>
      <c r="BR175">
        <v>0</v>
      </c>
      <c r="BS175">
        <v>0</v>
      </c>
      <c r="BT175">
        <v>270.16540000000003</v>
      </c>
      <c r="BU175">
        <v>0.41</v>
      </c>
      <c r="BV175">
        <v>0</v>
      </c>
      <c r="BW175">
        <v>1</v>
      </c>
      <c r="CU175">
        <f>ROUND(AT175*Source!I206*AH175*AL175,2)</f>
        <v>2161.3200000000002</v>
      </c>
      <c r="CV175">
        <f>ROUND(Y175*Source!I206,7)</f>
        <v>3.28</v>
      </c>
      <c r="CW175">
        <v>0</v>
      </c>
      <c r="CX175">
        <f>ROUND(Y175*Source!I206,7)</f>
        <v>3.28</v>
      </c>
      <c r="CY175">
        <f t="shared" ref="CY175:CY186" si="70">AD175</f>
        <v>658.94</v>
      </c>
      <c r="CZ175">
        <f t="shared" ref="CZ175:CZ186" si="71">AH175</f>
        <v>658.94</v>
      </c>
      <c r="DA175">
        <f t="shared" ref="DA175:DA186" si="72">AL175</f>
        <v>1</v>
      </c>
      <c r="DB175">
        <f t="shared" si="62"/>
        <v>270.17</v>
      </c>
      <c r="DC175">
        <f t="shared" si="63"/>
        <v>0</v>
      </c>
      <c r="DD175" t="s">
        <v>3</v>
      </c>
      <c r="DE175" t="s">
        <v>3</v>
      </c>
      <c r="DF175">
        <f t="shared" si="69"/>
        <v>0</v>
      </c>
      <c r="DG175">
        <f t="shared" si="68"/>
        <v>0</v>
      </c>
      <c r="DH175">
        <f t="shared" si="64"/>
        <v>0</v>
      </c>
      <c r="DI175">
        <f t="shared" si="65"/>
        <v>2161.3200000000002</v>
      </c>
      <c r="DJ175">
        <f t="shared" ref="DJ175:DJ186" si="73">DI175</f>
        <v>2161.3200000000002</v>
      </c>
      <c r="DK175">
        <v>1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ROW(Source!A206)</f>
        <v>206</v>
      </c>
      <c r="B176">
        <v>65178645</v>
      </c>
      <c r="C176">
        <v>65179485</v>
      </c>
      <c r="D176">
        <v>63884358</v>
      </c>
      <c r="E176">
        <v>112</v>
      </c>
      <c r="F176">
        <v>1</v>
      </c>
      <c r="G176">
        <v>1</v>
      </c>
      <c r="H176">
        <v>1</v>
      </c>
      <c r="I176" t="s">
        <v>522</v>
      </c>
      <c r="J176" t="s">
        <v>3</v>
      </c>
      <c r="K176" t="s">
        <v>523</v>
      </c>
      <c r="L176">
        <v>1369</v>
      </c>
      <c r="N176">
        <v>1013</v>
      </c>
      <c r="O176" t="s">
        <v>488</v>
      </c>
      <c r="P176" t="s">
        <v>488</v>
      </c>
      <c r="Q176">
        <v>1</v>
      </c>
      <c r="W176">
        <v>0</v>
      </c>
      <c r="X176">
        <v>126826561</v>
      </c>
      <c r="Y176">
        <f t="shared" si="61"/>
        <v>0.41</v>
      </c>
      <c r="AA176">
        <v>0</v>
      </c>
      <c r="AB176">
        <v>0</v>
      </c>
      <c r="AC176">
        <v>0</v>
      </c>
      <c r="AD176">
        <v>644.29999999999995</v>
      </c>
      <c r="AE176">
        <v>0</v>
      </c>
      <c r="AF176">
        <v>0</v>
      </c>
      <c r="AG176">
        <v>0</v>
      </c>
      <c r="AH176">
        <v>644.29999999999995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0</v>
      </c>
      <c r="AP176">
        <v>1</v>
      </c>
      <c r="AQ176">
        <v>1</v>
      </c>
      <c r="AR176">
        <v>0</v>
      </c>
      <c r="AS176" t="s">
        <v>3</v>
      </c>
      <c r="AT176">
        <v>0.41</v>
      </c>
      <c r="AU176" t="s">
        <v>3</v>
      </c>
      <c r="AV176">
        <v>1</v>
      </c>
      <c r="AW176">
        <v>2</v>
      </c>
      <c r="AX176">
        <v>65179600</v>
      </c>
      <c r="AY176">
        <v>1</v>
      </c>
      <c r="AZ176">
        <v>0</v>
      </c>
      <c r="BA176">
        <v>176</v>
      </c>
      <c r="BB176">
        <v>1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264.16299999999995</v>
      </c>
      <c r="BN176">
        <v>0.41</v>
      </c>
      <c r="BO176">
        <v>0</v>
      </c>
      <c r="BP176">
        <v>1</v>
      </c>
      <c r="BQ176">
        <v>0</v>
      </c>
      <c r="BR176">
        <v>0</v>
      </c>
      <c r="BS176">
        <v>0</v>
      </c>
      <c r="BT176">
        <v>264.16299999999995</v>
      </c>
      <c r="BU176">
        <v>0.41</v>
      </c>
      <c r="BV176">
        <v>0</v>
      </c>
      <c r="BW176">
        <v>1</v>
      </c>
      <c r="CU176">
        <f>ROUND(AT176*Source!I206*AH176*AL176,2)</f>
        <v>2113.3000000000002</v>
      </c>
      <c r="CV176">
        <f>ROUND(Y176*Source!I206,7)</f>
        <v>3.28</v>
      </c>
      <c r="CW176">
        <v>0</v>
      </c>
      <c r="CX176">
        <f>ROUND(Y176*Source!I206,7)</f>
        <v>3.28</v>
      </c>
      <c r="CY176">
        <f t="shared" si="70"/>
        <v>644.29999999999995</v>
      </c>
      <c r="CZ176">
        <f t="shared" si="71"/>
        <v>644.29999999999995</v>
      </c>
      <c r="DA176">
        <f t="shared" si="72"/>
        <v>1</v>
      </c>
      <c r="DB176">
        <f t="shared" si="62"/>
        <v>264.16000000000003</v>
      </c>
      <c r="DC176">
        <f t="shared" si="63"/>
        <v>0</v>
      </c>
      <c r="DD176" t="s">
        <v>3</v>
      </c>
      <c r="DE176" t="s">
        <v>3</v>
      </c>
      <c r="DF176">
        <f t="shared" si="69"/>
        <v>0</v>
      </c>
      <c r="DG176">
        <f t="shared" si="68"/>
        <v>0</v>
      </c>
      <c r="DH176">
        <f t="shared" si="64"/>
        <v>0</v>
      </c>
      <c r="DI176">
        <f t="shared" si="65"/>
        <v>2113.3000000000002</v>
      </c>
      <c r="DJ176">
        <f t="shared" si="73"/>
        <v>2113.3000000000002</v>
      </c>
      <c r="DK176">
        <v>1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ROW(Source!A207)</f>
        <v>207</v>
      </c>
      <c r="B177">
        <v>65178645</v>
      </c>
      <c r="C177">
        <v>65179490</v>
      </c>
      <c r="D177">
        <v>63884340</v>
      </c>
      <c r="E177">
        <v>112</v>
      </c>
      <c r="F177">
        <v>1</v>
      </c>
      <c r="G177">
        <v>1</v>
      </c>
      <c r="H177">
        <v>1</v>
      </c>
      <c r="I177" t="s">
        <v>520</v>
      </c>
      <c r="J177" t="s">
        <v>3</v>
      </c>
      <c r="K177" t="s">
        <v>521</v>
      </c>
      <c r="L177">
        <v>1369</v>
      </c>
      <c r="N177">
        <v>1013</v>
      </c>
      <c r="O177" t="s">
        <v>488</v>
      </c>
      <c r="P177" t="s">
        <v>488</v>
      </c>
      <c r="Q177">
        <v>1</v>
      </c>
      <c r="W177">
        <v>0</v>
      </c>
      <c r="X177">
        <v>286205319</v>
      </c>
      <c r="Y177">
        <f t="shared" si="61"/>
        <v>0.16</v>
      </c>
      <c r="AA177">
        <v>0</v>
      </c>
      <c r="AB177">
        <v>0</v>
      </c>
      <c r="AC177">
        <v>0</v>
      </c>
      <c r="AD177">
        <v>658.94</v>
      </c>
      <c r="AE177">
        <v>0</v>
      </c>
      <c r="AF177">
        <v>0</v>
      </c>
      <c r="AG177">
        <v>0</v>
      </c>
      <c r="AH177">
        <v>658.94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0</v>
      </c>
      <c r="AP177">
        <v>1</v>
      </c>
      <c r="AQ177">
        <v>1</v>
      </c>
      <c r="AR177">
        <v>0</v>
      </c>
      <c r="AS177" t="s">
        <v>3</v>
      </c>
      <c r="AT177">
        <v>0.16</v>
      </c>
      <c r="AU177" t="s">
        <v>3</v>
      </c>
      <c r="AV177">
        <v>1</v>
      </c>
      <c r="AW177">
        <v>2</v>
      </c>
      <c r="AX177">
        <v>65179601</v>
      </c>
      <c r="AY177">
        <v>1</v>
      </c>
      <c r="AZ177">
        <v>0</v>
      </c>
      <c r="BA177">
        <v>177</v>
      </c>
      <c r="BB177">
        <v>1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105.43040000000001</v>
      </c>
      <c r="BN177">
        <v>0.16</v>
      </c>
      <c r="BO177">
        <v>0</v>
      </c>
      <c r="BP177">
        <v>1</v>
      </c>
      <c r="BQ177">
        <v>0</v>
      </c>
      <c r="BR177">
        <v>0</v>
      </c>
      <c r="BS177">
        <v>0</v>
      </c>
      <c r="BT177">
        <v>105.43040000000001</v>
      </c>
      <c r="BU177">
        <v>0.16</v>
      </c>
      <c r="BV177">
        <v>0</v>
      </c>
      <c r="BW177">
        <v>1</v>
      </c>
      <c r="CU177">
        <f>ROUND(AT177*Source!I207*AH177*AL177,2)</f>
        <v>843.44</v>
      </c>
      <c r="CV177">
        <f>ROUND(Y177*Source!I207,7)</f>
        <v>1.28</v>
      </c>
      <c r="CW177">
        <v>0</v>
      </c>
      <c r="CX177">
        <f>ROUND(Y177*Source!I207,7)</f>
        <v>1.28</v>
      </c>
      <c r="CY177">
        <f t="shared" si="70"/>
        <v>658.94</v>
      </c>
      <c r="CZ177">
        <f t="shared" si="71"/>
        <v>658.94</v>
      </c>
      <c r="DA177">
        <f t="shared" si="72"/>
        <v>1</v>
      </c>
      <c r="DB177">
        <f t="shared" si="62"/>
        <v>105.43</v>
      </c>
      <c r="DC177">
        <f t="shared" si="63"/>
        <v>0</v>
      </c>
      <c r="DD177" t="s">
        <v>3</v>
      </c>
      <c r="DE177" t="s">
        <v>3</v>
      </c>
      <c r="DF177">
        <f t="shared" si="69"/>
        <v>0</v>
      </c>
      <c r="DG177">
        <f t="shared" si="68"/>
        <v>0</v>
      </c>
      <c r="DH177">
        <f t="shared" si="64"/>
        <v>0</v>
      </c>
      <c r="DI177">
        <f t="shared" si="65"/>
        <v>843.44</v>
      </c>
      <c r="DJ177">
        <f t="shared" si="73"/>
        <v>843.44</v>
      </c>
      <c r="DK177">
        <v>1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ROW(Source!A207)</f>
        <v>207</v>
      </c>
      <c r="B178">
        <v>65178645</v>
      </c>
      <c r="C178">
        <v>65179490</v>
      </c>
      <c r="D178">
        <v>63884358</v>
      </c>
      <c r="E178">
        <v>112</v>
      </c>
      <c r="F178">
        <v>1</v>
      </c>
      <c r="G178">
        <v>1</v>
      </c>
      <c r="H178">
        <v>1</v>
      </c>
      <c r="I178" t="s">
        <v>522</v>
      </c>
      <c r="J178" t="s">
        <v>3</v>
      </c>
      <c r="K178" t="s">
        <v>523</v>
      </c>
      <c r="L178">
        <v>1369</v>
      </c>
      <c r="N178">
        <v>1013</v>
      </c>
      <c r="O178" t="s">
        <v>488</v>
      </c>
      <c r="P178" t="s">
        <v>488</v>
      </c>
      <c r="Q178">
        <v>1</v>
      </c>
      <c r="W178">
        <v>0</v>
      </c>
      <c r="X178">
        <v>126826561</v>
      </c>
      <c r="Y178">
        <f t="shared" si="61"/>
        <v>0.16</v>
      </c>
      <c r="AA178">
        <v>0</v>
      </c>
      <c r="AB178">
        <v>0</v>
      </c>
      <c r="AC178">
        <v>0</v>
      </c>
      <c r="AD178">
        <v>644.29999999999995</v>
      </c>
      <c r="AE178">
        <v>0</v>
      </c>
      <c r="AF178">
        <v>0</v>
      </c>
      <c r="AG178">
        <v>0</v>
      </c>
      <c r="AH178">
        <v>644.29999999999995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0</v>
      </c>
      <c r="AP178">
        <v>1</v>
      </c>
      <c r="AQ178">
        <v>1</v>
      </c>
      <c r="AR178">
        <v>0</v>
      </c>
      <c r="AS178" t="s">
        <v>3</v>
      </c>
      <c r="AT178">
        <v>0.16</v>
      </c>
      <c r="AU178" t="s">
        <v>3</v>
      </c>
      <c r="AV178">
        <v>1</v>
      </c>
      <c r="AW178">
        <v>2</v>
      </c>
      <c r="AX178">
        <v>65179602</v>
      </c>
      <c r="AY178">
        <v>1</v>
      </c>
      <c r="AZ178">
        <v>0</v>
      </c>
      <c r="BA178">
        <v>178</v>
      </c>
      <c r="BB178">
        <v>1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103.08799999999999</v>
      </c>
      <c r="BN178">
        <v>0.16</v>
      </c>
      <c r="BO178">
        <v>0</v>
      </c>
      <c r="BP178">
        <v>1</v>
      </c>
      <c r="BQ178">
        <v>0</v>
      </c>
      <c r="BR178">
        <v>0</v>
      </c>
      <c r="BS178">
        <v>0</v>
      </c>
      <c r="BT178">
        <v>103.08799999999999</v>
      </c>
      <c r="BU178">
        <v>0.16</v>
      </c>
      <c r="BV178">
        <v>0</v>
      </c>
      <c r="BW178">
        <v>1</v>
      </c>
      <c r="CU178">
        <f>ROUND(AT178*Source!I207*AH178*AL178,2)</f>
        <v>824.7</v>
      </c>
      <c r="CV178">
        <f>ROUND(Y178*Source!I207,7)</f>
        <v>1.28</v>
      </c>
      <c r="CW178">
        <v>0</v>
      </c>
      <c r="CX178">
        <f>ROUND(Y178*Source!I207,7)</f>
        <v>1.28</v>
      </c>
      <c r="CY178">
        <f t="shared" si="70"/>
        <v>644.29999999999995</v>
      </c>
      <c r="CZ178">
        <f t="shared" si="71"/>
        <v>644.29999999999995</v>
      </c>
      <c r="DA178">
        <f t="shared" si="72"/>
        <v>1</v>
      </c>
      <c r="DB178">
        <f t="shared" si="62"/>
        <v>103.09</v>
      </c>
      <c r="DC178">
        <f t="shared" si="63"/>
        <v>0</v>
      </c>
      <c r="DD178" t="s">
        <v>3</v>
      </c>
      <c r="DE178" t="s">
        <v>3</v>
      </c>
      <c r="DF178">
        <f t="shared" si="69"/>
        <v>0</v>
      </c>
      <c r="DG178">
        <f t="shared" si="68"/>
        <v>0</v>
      </c>
      <c r="DH178">
        <f t="shared" si="64"/>
        <v>0</v>
      </c>
      <c r="DI178">
        <f t="shared" si="65"/>
        <v>824.7</v>
      </c>
      <c r="DJ178">
        <f t="shared" si="73"/>
        <v>824.7</v>
      </c>
      <c r="DK178">
        <v>1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ROW(Source!A208)</f>
        <v>208</v>
      </c>
      <c r="B179">
        <v>65178645</v>
      </c>
      <c r="C179">
        <v>65179495</v>
      </c>
      <c r="D179">
        <v>63884340</v>
      </c>
      <c r="E179">
        <v>112</v>
      </c>
      <c r="F179">
        <v>1</v>
      </c>
      <c r="G179">
        <v>1</v>
      </c>
      <c r="H179">
        <v>1</v>
      </c>
      <c r="I179" t="s">
        <v>520</v>
      </c>
      <c r="J179" t="s">
        <v>3</v>
      </c>
      <c r="K179" t="s">
        <v>521</v>
      </c>
      <c r="L179">
        <v>1369</v>
      </c>
      <c r="N179">
        <v>1013</v>
      </c>
      <c r="O179" t="s">
        <v>488</v>
      </c>
      <c r="P179" t="s">
        <v>488</v>
      </c>
      <c r="Q179">
        <v>1</v>
      </c>
      <c r="W179">
        <v>0</v>
      </c>
      <c r="X179">
        <v>286205319</v>
      </c>
      <c r="Y179">
        <f t="shared" si="61"/>
        <v>0.5</v>
      </c>
      <c r="AA179">
        <v>0</v>
      </c>
      <c r="AB179">
        <v>0</v>
      </c>
      <c r="AC179">
        <v>0</v>
      </c>
      <c r="AD179">
        <v>658.94</v>
      </c>
      <c r="AE179">
        <v>0</v>
      </c>
      <c r="AF179">
        <v>0</v>
      </c>
      <c r="AG179">
        <v>0</v>
      </c>
      <c r="AH179">
        <v>658.94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0</v>
      </c>
      <c r="AP179">
        <v>1</v>
      </c>
      <c r="AQ179">
        <v>1</v>
      </c>
      <c r="AR179">
        <v>0</v>
      </c>
      <c r="AS179" t="s">
        <v>3</v>
      </c>
      <c r="AT179">
        <v>0.5</v>
      </c>
      <c r="AU179" t="s">
        <v>3</v>
      </c>
      <c r="AV179">
        <v>1</v>
      </c>
      <c r="AW179">
        <v>2</v>
      </c>
      <c r="AX179">
        <v>65179603</v>
      </c>
      <c r="AY179">
        <v>1</v>
      </c>
      <c r="AZ179">
        <v>0</v>
      </c>
      <c r="BA179">
        <v>179</v>
      </c>
      <c r="BB179">
        <v>1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329.47</v>
      </c>
      <c r="BN179">
        <v>0.5</v>
      </c>
      <c r="BO179">
        <v>0</v>
      </c>
      <c r="BP179">
        <v>1</v>
      </c>
      <c r="BQ179">
        <v>0</v>
      </c>
      <c r="BR179">
        <v>0</v>
      </c>
      <c r="BS179">
        <v>0</v>
      </c>
      <c r="BT179">
        <v>329.47</v>
      </c>
      <c r="BU179">
        <v>0.5</v>
      </c>
      <c r="BV179">
        <v>0</v>
      </c>
      <c r="BW179">
        <v>1</v>
      </c>
      <c r="CU179">
        <f>ROUND(AT179*Source!I208*AH179*AL179,2)</f>
        <v>3953.64</v>
      </c>
      <c r="CV179">
        <f>ROUND(Y179*Source!I208,7)</f>
        <v>6</v>
      </c>
      <c r="CW179">
        <v>0</v>
      </c>
      <c r="CX179">
        <f>ROUND(Y179*Source!I208,7)</f>
        <v>6</v>
      </c>
      <c r="CY179">
        <f t="shared" si="70"/>
        <v>658.94</v>
      </c>
      <c r="CZ179">
        <f t="shared" si="71"/>
        <v>658.94</v>
      </c>
      <c r="DA179">
        <f t="shared" si="72"/>
        <v>1</v>
      </c>
      <c r="DB179">
        <f t="shared" si="62"/>
        <v>329.47</v>
      </c>
      <c r="DC179">
        <f t="shared" si="63"/>
        <v>0</v>
      </c>
      <c r="DD179" t="s">
        <v>3</v>
      </c>
      <c r="DE179" t="s">
        <v>3</v>
      </c>
      <c r="DF179">
        <f t="shared" si="69"/>
        <v>0</v>
      </c>
      <c r="DG179">
        <f t="shared" si="68"/>
        <v>0</v>
      </c>
      <c r="DH179">
        <f t="shared" si="64"/>
        <v>0</v>
      </c>
      <c r="DI179">
        <f t="shared" si="65"/>
        <v>3953.64</v>
      </c>
      <c r="DJ179">
        <f t="shared" si="73"/>
        <v>3953.64</v>
      </c>
      <c r="DK179">
        <v>1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ROW(Source!A208)</f>
        <v>208</v>
      </c>
      <c r="B180">
        <v>65178645</v>
      </c>
      <c r="C180">
        <v>65179495</v>
      </c>
      <c r="D180">
        <v>63884358</v>
      </c>
      <c r="E180">
        <v>112</v>
      </c>
      <c r="F180">
        <v>1</v>
      </c>
      <c r="G180">
        <v>1</v>
      </c>
      <c r="H180">
        <v>1</v>
      </c>
      <c r="I180" t="s">
        <v>522</v>
      </c>
      <c r="J180" t="s">
        <v>3</v>
      </c>
      <c r="K180" t="s">
        <v>523</v>
      </c>
      <c r="L180">
        <v>1369</v>
      </c>
      <c r="N180">
        <v>1013</v>
      </c>
      <c r="O180" t="s">
        <v>488</v>
      </c>
      <c r="P180" t="s">
        <v>488</v>
      </c>
      <c r="Q180">
        <v>1</v>
      </c>
      <c r="W180">
        <v>0</v>
      </c>
      <c r="X180">
        <v>126826561</v>
      </c>
      <c r="Y180">
        <f t="shared" si="61"/>
        <v>0.5</v>
      </c>
      <c r="AA180">
        <v>0</v>
      </c>
      <c r="AB180">
        <v>0</v>
      </c>
      <c r="AC180">
        <v>0</v>
      </c>
      <c r="AD180">
        <v>644.29999999999995</v>
      </c>
      <c r="AE180">
        <v>0</v>
      </c>
      <c r="AF180">
        <v>0</v>
      </c>
      <c r="AG180">
        <v>0</v>
      </c>
      <c r="AH180">
        <v>644.29999999999995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0</v>
      </c>
      <c r="AP180">
        <v>1</v>
      </c>
      <c r="AQ180">
        <v>1</v>
      </c>
      <c r="AR180">
        <v>0</v>
      </c>
      <c r="AS180" t="s">
        <v>3</v>
      </c>
      <c r="AT180">
        <v>0.5</v>
      </c>
      <c r="AU180" t="s">
        <v>3</v>
      </c>
      <c r="AV180">
        <v>1</v>
      </c>
      <c r="AW180">
        <v>2</v>
      </c>
      <c r="AX180">
        <v>65179604</v>
      </c>
      <c r="AY180">
        <v>1</v>
      </c>
      <c r="AZ180">
        <v>0</v>
      </c>
      <c r="BA180">
        <v>180</v>
      </c>
      <c r="BB180">
        <v>1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322.14999999999998</v>
      </c>
      <c r="BN180">
        <v>0.5</v>
      </c>
      <c r="BO180">
        <v>0</v>
      </c>
      <c r="BP180">
        <v>1</v>
      </c>
      <c r="BQ180">
        <v>0</v>
      </c>
      <c r="BR180">
        <v>0</v>
      </c>
      <c r="BS180">
        <v>0</v>
      </c>
      <c r="BT180">
        <v>322.14999999999998</v>
      </c>
      <c r="BU180">
        <v>0.5</v>
      </c>
      <c r="BV180">
        <v>0</v>
      </c>
      <c r="BW180">
        <v>1</v>
      </c>
      <c r="CU180">
        <f>ROUND(AT180*Source!I208*AH180*AL180,2)</f>
        <v>3865.8</v>
      </c>
      <c r="CV180">
        <f>ROUND(Y180*Source!I208,7)</f>
        <v>6</v>
      </c>
      <c r="CW180">
        <v>0</v>
      </c>
      <c r="CX180">
        <f>ROUND(Y180*Source!I208,7)</f>
        <v>6</v>
      </c>
      <c r="CY180">
        <f t="shared" si="70"/>
        <v>644.29999999999995</v>
      </c>
      <c r="CZ180">
        <f t="shared" si="71"/>
        <v>644.29999999999995</v>
      </c>
      <c r="DA180">
        <f t="shared" si="72"/>
        <v>1</v>
      </c>
      <c r="DB180">
        <f t="shared" si="62"/>
        <v>322.14999999999998</v>
      </c>
      <c r="DC180">
        <f t="shared" si="63"/>
        <v>0</v>
      </c>
      <c r="DD180" t="s">
        <v>3</v>
      </c>
      <c r="DE180" t="s">
        <v>3</v>
      </c>
      <c r="DF180">
        <f t="shared" si="69"/>
        <v>0</v>
      </c>
      <c r="DG180">
        <f t="shared" si="68"/>
        <v>0</v>
      </c>
      <c r="DH180">
        <f t="shared" si="64"/>
        <v>0</v>
      </c>
      <c r="DI180">
        <f t="shared" si="65"/>
        <v>3865.8</v>
      </c>
      <c r="DJ180">
        <f t="shared" si="73"/>
        <v>3865.8</v>
      </c>
      <c r="DK180">
        <v>1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ROW(Source!A209)</f>
        <v>209</v>
      </c>
      <c r="B181">
        <v>65178645</v>
      </c>
      <c r="C181">
        <v>65179500</v>
      </c>
      <c r="D181">
        <v>63884340</v>
      </c>
      <c r="E181">
        <v>112</v>
      </c>
      <c r="F181">
        <v>1</v>
      </c>
      <c r="G181">
        <v>1</v>
      </c>
      <c r="H181">
        <v>1</v>
      </c>
      <c r="I181" t="s">
        <v>520</v>
      </c>
      <c r="J181" t="s">
        <v>3</v>
      </c>
      <c r="K181" t="s">
        <v>521</v>
      </c>
      <c r="L181">
        <v>1369</v>
      </c>
      <c r="N181">
        <v>1013</v>
      </c>
      <c r="O181" t="s">
        <v>488</v>
      </c>
      <c r="P181" t="s">
        <v>488</v>
      </c>
      <c r="Q181">
        <v>1</v>
      </c>
      <c r="W181">
        <v>0</v>
      </c>
      <c r="X181">
        <v>286205319</v>
      </c>
      <c r="Y181">
        <f t="shared" si="61"/>
        <v>0.81</v>
      </c>
      <c r="AA181">
        <v>0</v>
      </c>
      <c r="AB181">
        <v>0</v>
      </c>
      <c r="AC181">
        <v>0</v>
      </c>
      <c r="AD181">
        <v>658.94</v>
      </c>
      <c r="AE181">
        <v>0</v>
      </c>
      <c r="AF181">
        <v>0</v>
      </c>
      <c r="AG181">
        <v>0</v>
      </c>
      <c r="AH181">
        <v>658.94</v>
      </c>
      <c r="AI181">
        <v>1</v>
      </c>
      <c r="AJ181">
        <v>1</v>
      </c>
      <c r="AK181">
        <v>1</v>
      </c>
      <c r="AL181">
        <v>1</v>
      </c>
      <c r="AM181">
        <v>-2</v>
      </c>
      <c r="AN181">
        <v>0</v>
      </c>
      <c r="AO181">
        <v>0</v>
      </c>
      <c r="AP181">
        <v>1</v>
      </c>
      <c r="AQ181">
        <v>1</v>
      </c>
      <c r="AR181">
        <v>0</v>
      </c>
      <c r="AS181" t="s">
        <v>3</v>
      </c>
      <c r="AT181">
        <v>0.81</v>
      </c>
      <c r="AU181" t="s">
        <v>3</v>
      </c>
      <c r="AV181">
        <v>1</v>
      </c>
      <c r="AW181">
        <v>2</v>
      </c>
      <c r="AX181">
        <v>65179605</v>
      </c>
      <c r="AY181">
        <v>1</v>
      </c>
      <c r="AZ181">
        <v>0</v>
      </c>
      <c r="BA181">
        <v>181</v>
      </c>
      <c r="BB181">
        <v>1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533.74140000000011</v>
      </c>
      <c r="BN181">
        <v>0.81</v>
      </c>
      <c r="BO181">
        <v>0</v>
      </c>
      <c r="BP181">
        <v>1</v>
      </c>
      <c r="BQ181">
        <v>0</v>
      </c>
      <c r="BR181">
        <v>0</v>
      </c>
      <c r="BS181">
        <v>0</v>
      </c>
      <c r="BT181">
        <v>533.74140000000011</v>
      </c>
      <c r="BU181">
        <v>0.81</v>
      </c>
      <c r="BV181">
        <v>0</v>
      </c>
      <c r="BW181">
        <v>1</v>
      </c>
      <c r="CU181">
        <f>ROUND(AT181*Source!I209*AH181*AL181,2)</f>
        <v>6404.9</v>
      </c>
      <c r="CV181">
        <f>ROUND(Y181*Source!I209,7)</f>
        <v>9.7200000000000006</v>
      </c>
      <c r="CW181">
        <v>0</v>
      </c>
      <c r="CX181">
        <f>ROUND(Y181*Source!I209,7)</f>
        <v>9.7200000000000006</v>
      </c>
      <c r="CY181">
        <f t="shared" si="70"/>
        <v>658.94</v>
      </c>
      <c r="CZ181">
        <f t="shared" si="71"/>
        <v>658.94</v>
      </c>
      <c r="DA181">
        <f t="shared" si="72"/>
        <v>1</v>
      </c>
      <c r="DB181">
        <f t="shared" si="62"/>
        <v>533.74</v>
      </c>
      <c r="DC181">
        <f t="shared" si="63"/>
        <v>0</v>
      </c>
      <c r="DD181" t="s">
        <v>3</v>
      </c>
      <c r="DE181" t="s">
        <v>3</v>
      </c>
      <c r="DF181">
        <f t="shared" si="69"/>
        <v>0</v>
      </c>
      <c r="DG181">
        <f t="shared" si="68"/>
        <v>0</v>
      </c>
      <c r="DH181">
        <f t="shared" si="64"/>
        <v>0</v>
      </c>
      <c r="DI181">
        <f t="shared" si="65"/>
        <v>6404.9</v>
      </c>
      <c r="DJ181">
        <f t="shared" si="73"/>
        <v>6404.9</v>
      </c>
      <c r="DK181">
        <v>1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ROW(Source!A209)</f>
        <v>209</v>
      </c>
      <c r="B182">
        <v>65178645</v>
      </c>
      <c r="C182">
        <v>65179500</v>
      </c>
      <c r="D182">
        <v>63884358</v>
      </c>
      <c r="E182">
        <v>112</v>
      </c>
      <c r="F182">
        <v>1</v>
      </c>
      <c r="G182">
        <v>1</v>
      </c>
      <c r="H182">
        <v>1</v>
      </c>
      <c r="I182" t="s">
        <v>522</v>
      </c>
      <c r="J182" t="s">
        <v>3</v>
      </c>
      <c r="K182" t="s">
        <v>523</v>
      </c>
      <c r="L182">
        <v>1369</v>
      </c>
      <c r="N182">
        <v>1013</v>
      </c>
      <c r="O182" t="s">
        <v>488</v>
      </c>
      <c r="P182" t="s">
        <v>488</v>
      </c>
      <c r="Q182">
        <v>1</v>
      </c>
      <c r="W182">
        <v>0</v>
      </c>
      <c r="X182">
        <v>126826561</v>
      </c>
      <c r="Y182">
        <f t="shared" si="61"/>
        <v>0.81</v>
      </c>
      <c r="AA182">
        <v>0</v>
      </c>
      <c r="AB182">
        <v>0</v>
      </c>
      <c r="AC182">
        <v>0</v>
      </c>
      <c r="AD182">
        <v>644.29999999999995</v>
      </c>
      <c r="AE182">
        <v>0</v>
      </c>
      <c r="AF182">
        <v>0</v>
      </c>
      <c r="AG182">
        <v>0</v>
      </c>
      <c r="AH182">
        <v>644.29999999999995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0</v>
      </c>
      <c r="AP182">
        <v>1</v>
      </c>
      <c r="AQ182">
        <v>1</v>
      </c>
      <c r="AR182">
        <v>0</v>
      </c>
      <c r="AS182" t="s">
        <v>3</v>
      </c>
      <c r="AT182">
        <v>0.81</v>
      </c>
      <c r="AU182" t="s">
        <v>3</v>
      </c>
      <c r="AV182">
        <v>1</v>
      </c>
      <c r="AW182">
        <v>2</v>
      </c>
      <c r="AX182">
        <v>65179606</v>
      </c>
      <c r="AY182">
        <v>1</v>
      </c>
      <c r="AZ182">
        <v>0</v>
      </c>
      <c r="BA182">
        <v>182</v>
      </c>
      <c r="BB182">
        <v>1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521.88300000000004</v>
      </c>
      <c r="BN182">
        <v>0.81</v>
      </c>
      <c r="BO182">
        <v>0</v>
      </c>
      <c r="BP182">
        <v>1</v>
      </c>
      <c r="BQ182">
        <v>0</v>
      </c>
      <c r="BR182">
        <v>0</v>
      </c>
      <c r="BS182">
        <v>0</v>
      </c>
      <c r="BT182">
        <v>521.88300000000004</v>
      </c>
      <c r="BU182">
        <v>0.81</v>
      </c>
      <c r="BV182">
        <v>0</v>
      </c>
      <c r="BW182">
        <v>1</v>
      </c>
      <c r="CU182">
        <f>ROUND(AT182*Source!I209*AH182*AL182,2)</f>
        <v>6262.6</v>
      </c>
      <c r="CV182">
        <f>ROUND(Y182*Source!I209,7)</f>
        <v>9.7200000000000006</v>
      </c>
      <c r="CW182">
        <v>0</v>
      </c>
      <c r="CX182">
        <f>ROUND(Y182*Source!I209,7)</f>
        <v>9.7200000000000006</v>
      </c>
      <c r="CY182">
        <f t="shared" si="70"/>
        <v>644.29999999999995</v>
      </c>
      <c r="CZ182">
        <f t="shared" si="71"/>
        <v>644.29999999999995</v>
      </c>
      <c r="DA182">
        <f t="shared" si="72"/>
        <v>1</v>
      </c>
      <c r="DB182">
        <f t="shared" si="62"/>
        <v>521.88</v>
      </c>
      <c r="DC182">
        <f t="shared" si="63"/>
        <v>0</v>
      </c>
      <c r="DD182" t="s">
        <v>3</v>
      </c>
      <c r="DE182" t="s">
        <v>3</v>
      </c>
      <c r="DF182">
        <f t="shared" si="69"/>
        <v>0</v>
      </c>
      <c r="DG182">
        <f t="shared" si="68"/>
        <v>0</v>
      </c>
      <c r="DH182">
        <f t="shared" si="64"/>
        <v>0</v>
      </c>
      <c r="DI182">
        <f t="shared" si="65"/>
        <v>6262.6</v>
      </c>
      <c r="DJ182">
        <f t="shared" si="73"/>
        <v>6262.6</v>
      </c>
      <c r="DK182">
        <v>1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ROW(Source!A210)</f>
        <v>210</v>
      </c>
      <c r="B183">
        <v>65178645</v>
      </c>
      <c r="C183">
        <v>65179505</v>
      </c>
      <c r="D183">
        <v>63884340</v>
      </c>
      <c r="E183">
        <v>112</v>
      </c>
      <c r="F183">
        <v>1</v>
      </c>
      <c r="G183">
        <v>1</v>
      </c>
      <c r="H183">
        <v>1</v>
      </c>
      <c r="I183" t="s">
        <v>520</v>
      </c>
      <c r="J183" t="s">
        <v>3</v>
      </c>
      <c r="K183" t="s">
        <v>521</v>
      </c>
      <c r="L183">
        <v>1369</v>
      </c>
      <c r="N183">
        <v>1013</v>
      </c>
      <c r="O183" t="s">
        <v>488</v>
      </c>
      <c r="P183" t="s">
        <v>488</v>
      </c>
      <c r="Q183">
        <v>1</v>
      </c>
      <c r="W183">
        <v>0</v>
      </c>
      <c r="X183">
        <v>286205319</v>
      </c>
      <c r="Y183">
        <f t="shared" si="61"/>
        <v>1.62</v>
      </c>
      <c r="AA183">
        <v>0</v>
      </c>
      <c r="AB183">
        <v>0</v>
      </c>
      <c r="AC183">
        <v>0</v>
      </c>
      <c r="AD183">
        <v>658.94</v>
      </c>
      <c r="AE183">
        <v>0</v>
      </c>
      <c r="AF183">
        <v>0</v>
      </c>
      <c r="AG183">
        <v>0</v>
      </c>
      <c r="AH183">
        <v>658.94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0</v>
      </c>
      <c r="AP183">
        <v>1</v>
      </c>
      <c r="AQ183">
        <v>1</v>
      </c>
      <c r="AR183">
        <v>0</v>
      </c>
      <c r="AS183" t="s">
        <v>3</v>
      </c>
      <c r="AT183">
        <v>1.62</v>
      </c>
      <c r="AU183" t="s">
        <v>3</v>
      </c>
      <c r="AV183">
        <v>1</v>
      </c>
      <c r="AW183">
        <v>2</v>
      </c>
      <c r="AX183">
        <v>65179607</v>
      </c>
      <c r="AY183">
        <v>1</v>
      </c>
      <c r="AZ183">
        <v>0</v>
      </c>
      <c r="BA183">
        <v>183</v>
      </c>
      <c r="BB183">
        <v>1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1067.4828000000002</v>
      </c>
      <c r="BN183">
        <v>1.62</v>
      </c>
      <c r="BO183">
        <v>0</v>
      </c>
      <c r="BP183">
        <v>1</v>
      </c>
      <c r="BQ183">
        <v>0</v>
      </c>
      <c r="BR183">
        <v>0</v>
      </c>
      <c r="BS183">
        <v>0</v>
      </c>
      <c r="BT183">
        <v>1067.4828000000002</v>
      </c>
      <c r="BU183">
        <v>1.62</v>
      </c>
      <c r="BV183">
        <v>0</v>
      </c>
      <c r="BW183">
        <v>1</v>
      </c>
      <c r="CU183">
        <f>ROUND(AT183*Source!I210*AH183*AL183,2)</f>
        <v>12809.79</v>
      </c>
      <c r="CV183">
        <f>ROUND(Y183*Source!I210,7)</f>
        <v>19.440000000000001</v>
      </c>
      <c r="CW183">
        <v>0</v>
      </c>
      <c r="CX183">
        <f>ROUND(Y183*Source!I210,7)</f>
        <v>19.440000000000001</v>
      </c>
      <c r="CY183">
        <f t="shared" si="70"/>
        <v>658.94</v>
      </c>
      <c r="CZ183">
        <f t="shared" si="71"/>
        <v>658.94</v>
      </c>
      <c r="DA183">
        <f t="shared" si="72"/>
        <v>1</v>
      </c>
      <c r="DB183">
        <f t="shared" si="62"/>
        <v>1067.48</v>
      </c>
      <c r="DC183">
        <f t="shared" si="63"/>
        <v>0</v>
      </c>
      <c r="DD183" t="s">
        <v>3</v>
      </c>
      <c r="DE183" t="s">
        <v>3</v>
      </c>
      <c r="DF183">
        <f t="shared" si="69"/>
        <v>0</v>
      </c>
      <c r="DG183">
        <f t="shared" si="68"/>
        <v>0</v>
      </c>
      <c r="DH183">
        <f t="shared" si="64"/>
        <v>0</v>
      </c>
      <c r="DI183">
        <f t="shared" si="65"/>
        <v>12809.79</v>
      </c>
      <c r="DJ183">
        <f t="shared" si="73"/>
        <v>12809.79</v>
      </c>
      <c r="DK183">
        <v>1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ROW(Source!A210)</f>
        <v>210</v>
      </c>
      <c r="B184">
        <v>65178645</v>
      </c>
      <c r="C184">
        <v>65179505</v>
      </c>
      <c r="D184">
        <v>63884358</v>
      </c>
      <c r="E184">
        <v>112</v>
      </c>
      <c r="F184">
        <v>1</v>
      </c>
      <c r="G184">
        <v>1</v>
      </c>
      <c r="H184">
        <v>1</v>
      </c>
      <c r="I184" t="s">
        <v>522</v>
      </c>
      <c r="J184" t="s">
        <v>3</v>
      </c>
      <c r="K184" t="s">
        <v>523</v>
      </c>
      <c r="L184">
        <v>1369</v>
      </c>
      <c r="N184">
        <v>1013</v>
      </c>
      <c r="O184" t="s">
        <v>488</v>
      </c>
      <c r="P184" t="s">
        <v>488</v>
      </c>
      <c r="Q184">
        <v>1</v>
      </c>
      <c r="W184">
        <v>0</v>
      </c>
      <c r="X184">
        <v>126826561</v>
      </c>
      <c r="Y184">
        <f t="shared" si="61"/>
        <v>1.62</v>
      </c>
      <c r="AA184">
        <v>0</v>
      </c>
      <c r="AB184">
        <v>0</v>
      </c>
      <c r="AC184">
        <v>0</v>
      </c>
      <c r="AD184">
        <v>644.29999999999995</v>
      </c>
      <c r="AE184">
        <v>0</v>
      </c>
      <c r="AF184">
        <v>0</v>
      </c>
      <c r="AG184">
        <v>0</v>
      </c>
      <c r="AH184">
        <v>644.29999999999995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0</v>
      </c>
      <c r="AP184">
        <v>1</v>
      </c>
      <c r="AQ184">
        <v>1</v>
      </c>
      <c r="AR184">
        <v>0</v>
      </c>
      <c r="AS184" t="s">
        <v>3</v>
      </c>
      <c r="AT184">
        <v>1.62</v>
      </c>
      <c r="AU184" t="s">
        <v>3</v>
      </c>
      <c r="AV184">
        <v>1</v>
      </c>
      <c r="AW184">
        <v>2</v>
      </c>
      <c r="AX184">
        <v>65179608</v>
      </c>
      <c r="AY184">
        <v>1</v>
      </c>
      <c r="AZ184">
        <v>0</v>
      </c>
      <c r="BA184">
        <v>184</v>
      </c>
      <c r="BB184">
        <v>1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1043.7660000000001</v>
      </c>
      <c r="BN184">
        <v>1.62</v>
      </c>
      <c r="BO184">
        <v>0</v>
      </c>
      <c r="BP184">
        <v>1</v>
      </c>
      <c r="BQ184">
        <v>0</v>
      </c>
      <c r="BR184">
        <v>0</v>
      </c>
      <c r="BS184">
        <v>0</v>
      </c>
      <c r="BT184">
        <v>1043.7660000000001</v>
      </c>
      <c r="BU184">
        <v>1.62</v>
      </c>
      <c r="BV184">
        <v>0</v>
      </c>
      <c r="BW184">
        <v>1</v>
      </c>
      <c r="CU184">
        <f>ROUND(AT184*Source!I210*AH184*AL184,2)</f>
        <v>12525.19</v>
      </c>
      <c r="CV184">
        <f>ROUND(Y184*Source!I210,7)</f>
        <v>19.440000000000001</v>
      </c>
      <c r="CW184">
        <v>0</v>
      </c>
      <c r="CX184">
        <f>ROUND(Y184*Source!I210,7)</f>
        <v>19.440000000000001</v>
      </c>
      <c r="CY184">
        <f t="shared" si="70"/>
        <v>644.29999999999995</v>
      </c>
      <c r="CZ184">
        <f t="shared" si="71"/>
        <v>644.29999999999995</v>
      </c>
      <c r="DA184">
        <f t="shared" si="72"/>
        <v>1</v>
      </c>
      <c r="DB184">
        <f t="shared" si="62"/>
        <v>1043.77</v>
      </c>
      <c r="DC184">
        <f t="shared" si="63"/>
        <v>0</v>
      </c>
      <c r="DD184" t="s">
        <v>3</v>
      </c>
      <c r="DE184" t="s">
        <v>3</v>
      </c>
      <c r="DF184">
        <f t="shared" si="69"/>
        <v>0</v>
      </c>
      <c r="DG184">
        <f t="shared" si="68"/>
        <v>0</v>
      </c>
      <c r="DH184">
        <f t="shared" si="64"/>
        <v>0</v>
      </c>
      <c r="DI184">
        <f t="shared" si="65"/>
        <v>12525.19</v>
      </c>
      <c r="DJ184">
        <f t="shared" si="73"/>
        <v>12525.19</v>
      </c>
      <c r="DK184">
        <v>1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ROW(Source!A211)</f>
        <v>211</v>
      </c>
      <c r="B185">
        <v>65178645</v>
      </c>
      <c r="C185">
        <v>65179510</v>
      </c>
      <c r="D185">
        <v>63884340</v>
      </c>
      <c r="E185">
        <v>112</v>
      </c>
      <c r="F185">
        <v>1</v>
      </c>
      <c r="G185">
        <v>1</v>
      </c>
      <c r="H185">
        <v>1</v>
      </c>
      <c r="I185" t="s">
        <v>520</v>
      </c>
      <c r="J185" t="s">
        <v>3</v>
      </c>
      <c r="K185" t="s">
        <v>521</v>
      </c>
      <c r="L185">
        <v>1369</v>
      </c>
      <c r="N185">
        <v>1013</v>
      </c>
      <c r="O185" t="s">
        <v>488</v>
      </c>
      <c r="P185" t="s">
        <v>488</v>
      </c>
      <c r="Q185">
        <v>1</v>
      </c>
      <c r="W185">
        <v>0</v>
      </c>
      <c r="X185">
        <v>286205319</v>
      </c>
      <c r="Y185">
        <f t="shared" si="61"/>
        <v>6.48</v>
      </c>
      <c r="AA185">
        <v>0</v>
      </c>
      <c r="AB185">
        <v>0</v>
      </c>
      <c r="AC185">
        <v>0</v>
      </c>
      <c r="AD185">
        <v>658.94</v>
      </c>
      <c r="AE185">
        <v>0</v>
      </c>
      <c r="AF185">
        <v>0</v>
      </c>
      <c r="AG185">
        <v>0</v>
      </c>
      <c r="AH185">
        <v>658.94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0</v>
      </c>
      <c r="AP185">
        <v>1</v>
      </c>
      <c r="AQ185">
        <v>1</v>
      </c>
      <c r="AR185">
        <v>0</v>
      </c>
      <c r="AS185" t="s">
        <v>3</v>
      </c>
      <c r="AT185">
        <v>6.48</v>
      </c>
      <c r="AU185" t="s">
        <v>3</v>
      </c>
      <c r="AV185">
        <v>1</v>
      </c>
      <c r="AW185">
        <v>2</v>
      </c>
      <c r="AX185">
        <v>65179609</v>
      </c>
      <c r="AY185">
        <v>1</v>
      </c>
      <c r="AZ185">
        <v>0</v>
      </c>
      <c r="BA185">
        <v>185</v>
      </c>
      <c r="BB185">
        <v>1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4269.9312000000009</v>
      </c>
      <c r="BN185">
        <v>6.48</v>
      </c>
      <c r="BO185">
        <v>0</v>
      </c>
      <c r="BP185">
        <v>1</v>
      </c>
      <c r="BQ185">
        <v>0</v>
      </c>
      <c r="BR185">
        <v>0</v>
      </c>
      <c r="BS185">
        <v>0</v>
      </c>
      <c r="BT185">
        <v>4269.9312000000009</v>
      </c>
      <c r="BU185">
        <v>6.48</v>
      </c>
      <c r="BV185">
        <v>0</v>
      </c>
      <c r="BW185">
        <v>1</v>
      </c>
      <c r="CU185">
        <f>ROUND(AT185*Source!I211*AH185*AL185,2)</f>
        <v>512.39</v>
      </c>
      <c r="CV185">
        <f>ROUND(Y185*Source!I211,7)</f>
        <v>0.77759999999999996</v>
      </c>
      <c r="CW185">
        <v>0</v>
      </c>
      <c r="CX185">
        <f>ROUND(Y185*Source!I211,7)</f>
        <v>0.77759999999999996</v>
      </c>
      <c r="CY185">
        <f t="shared" si="70"/>
        <v>658.94</v>
      </c>
      <c r="CZ185">
        <f t="shared" si="71"/>
        <v>658.94</v>
      </c>
      <c r="DA185">
        <f t="shared" si="72"/>
        <v>1</v>
      </c>
      <c r="DB185">
        <f t="shared" si="62"/>
        <v>4269.93</v>
      </c>
      <c r="DC185">
        <f t="shared" si="63"/>
        <v>0</v>
      </c>
      <c r="DD185" t="s">
        <v>3</v>
      </c>
      <c r="DE185" t="s">
        <v>3</v>
      </c>
      <c r="DF185">
        <f t="shared" si="69"/>
        <v>0</v>
      </c>
      <c r="DG185">
        <f t="shared" si="68"/>
        <v>0</v>
      </c>
      <c r="DH185">
        <f t="shared" si="64"/>
        <v>0</v>
      </c>
      <c r="DI185">
        <f t="shared" si="65"/>
        <v>512.39</v>
      </c>
      <c r="DJ185">
        <f t="shared" si="73"/>
        <v>512.39</v>
      </c>
      <c r="DK185">
        <v>1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ROW(Source!A211)</f>
        <v>211</v>
      </c>
      <c r="B186">
        <v>65178645</v>
      </c>
      <c r="C186">
        <v>65179510</v>
      </c>
      <c r="D186">
        <v>63884358</v>
      </c>
      <c r="E186">
        <v>112</v>
      </c>
      <c r="F186">
        <v>1</v>
      </c>
      <c r="G186">
        <v>1</v>
      </c>
      <c r="H186">
        <v>1</v>
      </c>
      <c r="I186" t="s">
        <v>522</v>
      </c>
      <c r="J186" t="s">
        <v>3</v>
      </c>
      <c r="K186" t="s">
        <v>523</v>
      </c>
      <c r="L186">
        <v>1369</v>
      </c>
      <c r="N186">
        <v>1013</v>
      </c>
      <c r="O186" t="s">
        <v>488</v>
      </c>
      <c r="P186" t="s">
        <v>488</v>
      </c>
      <c r="Q186">
        <v>1</v>
      </c>
      <c r="W186">
        <v>0</v>
      </c>
      <c r="X186">
        <v>126826561</v>
      </c>
      <c r="Y186">
        <f t="shared" si="61"/>
        <v>6.48</v>
      </c>
      <c r="AA186">
        <v>0</v>
      </c>
      <c r="AB186">
        <v>0</v>
      </c>
      <c r="AC186">
        <v>0</v>
      </c>
      <c r="AD186">
        <v>644.29999999999995</v>
      </c>
      <c r="AE186">
        <v>0</v>
      </c>
      <c r="AF186">
        <v>0</v>
      </c>
      <c r="AG186">
        <v>0</v>
      </c>
      <c r="AH186">
        <v>644.29999999999995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0</v>
      </c>
      <c r="AP186">
        <v>1</v>
      </c>
      <c r="AQ186">
        <v>1</v>
      </c>
      <c r="AR186">
        <v>0</v>
      </c>
      <c r="AS186" t="s">
        <v>3</v>
      </c>
      <c r="AT186">
        <v>6.48</v>
      </c>
      <c r="AU186" t="s">
        <v>3</v>
      </c>
      <c r="AV186">
        <v>1</v>
      </c>
      <c r="AW186">
        <v>2</v>
      </c>
      <c r="AX186">
        <v>65179610</v>
      </c>
      <c r="AY186">
        <v>1</v>
      </c>
      <c r="AZ186">
        <v>0</v>
      </c>
      <c r="BA186">
        <v>186</v>
      </c>
      <c r="BB186">
        <v>1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4175.0640000000003</v>
      </c>
      <c r="BN186">
        <v>6.48</v>
      </c>
      <c r="BO186">
        <v>0</v>
      </c>
      <c r="BP186">
        <v>1</v>
      </c>
      <c r="BQ186">
        <v>0</v>
      </c>
      <c r="BR186">
        <v>0</v>
      </c>
      <c r="BS186">
        <v>0</v>
      </c>
      <c r="BT186">
        <v>4175.0640000000003</v>
      </c>
      <c r="BU186">
        <v>6.48</v>
      </c>
      <c r="BV186">
        <v>0</v>
      </c>
      <c r="BW186">
        <v>1</v>
      </c>
      <c r="CU186">
        <f>ROUND(AT186*Source!I211*AH186*AL186,2)</f>
        <v>501.01</v>
      </c>
      <c r="CV186">
        <f>ROUND(Y186*Source!I211,7)</f>
        <v>0.77759999999999996</v>
      </c>
      <c r="CW186">
        <v>0</v>
      </c>
      <c r="CX186">
        <f>ROUND(Y186*Source!I211,7)</f>
        <v>0.77759999999999996</v>
      </c>
      <c r="CY186">
        <f t="shared" si="70"/>
        <v>644.29999999999995</v>
      </c>
      <c r="CZ186">
        <f t="shared" si="71"/>
        <v>644.29999999999995</v>
      </c>
      <c r="DA186">
        <f t="shared" si="72"/>
        <v>1</v>
      </c>
      <c r="DB186">
        <f t="shared" si="62"/>
        <v>4175.0600000000004</v>
      </c>
      <c r="DC186">
        <f t="shared" si="63"/>
        <v>0</v>
      </c>
      <c r="DD186" t="s">
        <v>3</v>
      </c>
      <c r="DE186" t="s">
        <v>3</v>
      </c>
      <c r="DF186">
        <f t="shared" si="69"/>
        <v>0</v>
      </c>
      <c r="DG186">
        <f t="shared" si="68"/>
        <v>0</v>
      </c>
      <c r="DH186">
        <f t="shared" si="64"/>
        <v>0</v>
      </c>
      <c r="DI186">
        <f t="shared" si="65"/>
        <v>501.01</v>
      </c>
      <c r="DJ186">
        <f t="shared" si="73"/>
        <v>501.01</v>
      </c>
      <c r="DK186">
        <v>1</v>
      </c>
      <c r="DL186" t="s">
        <v>3</v>
      </c>
      <c r="DM186">
        <v>0</v>
      </c>
      <c r="DN186" t="s">
        <v>3</v>
      </c>
      <c r="DO186">
        <v>0</v>
      </c>
    </row>
    <row r="306" spans="9:9" x14ac:dyDescent="0.2">
      <c r="I30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441AE-1E16-405B-A249-1BDA1055A560}">
  <dimension ref="A1:AR18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ROW(Source!A62)</f>
        <v>62</v>
      </c>
      <c r="B1">
        <v>65179524</v>
      </c>
      <c r="C1">
        <v>65179519</v>
      </c>
      <c r="D1">
        <v>37064928</v>
      </c>
      <c r="E1">
        <v>108</v>
      </c>
      <c r="F1">
        <v>1</v>
      </c>
      <c r="G1">
        <v>1</v>
      </c>
      <c r="H1">
        <v>1</v>
      </c>
      <c r="I1" t="s">
        <v>370</v>
      </c>
      <c r="J1" t="s">
        <v>3</v>
      </c>
      <c r="K1" t="s">
        <v>371</v>
      </c>
      <c r="L1">
        <v>1191</v>
      </c>
      <c r="N1">
        <v>1013</v>
      </c>
      <c r="O1" t="s">
        <v>372</v>
      </c>
      <c r="P1" t="s">
        <v>372</v>
      </c>
      <c r="Q1">
        <v>1</v>
      </c>
      <c r="X1">
        <v>0.81</v>
      </c>
      <c r="Y1">
        <v>0</v>
      </c>
      <c r="Z1">
        <v>0</v>
      </c>
      <c r="AA1">
        <v>0</v>
      </c>
      <c r="AB1">
        <v>463.09</v>
      </c>
      <c r="AC1">
        <v>0</v>
      </c>
      <c r="AD1">
        <v>1</v>
      </c>
      <c r="AE1">
        <v>1</v>
      </c>
      <c r="AF1" t="s">
        <v>3</v>
      </c>
      <c r="AG1">
        <v>0.81</v>
      </c>
      <c r="AH1">
        <v>2</v>
      </c>
      <c r="AI1">
        <v>65179520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ROW(Source!A62)</f>
        <v>62</v>
      </c>
      <c r="B2">
        <v>65179525</v>
      </c>
      <c r="C2">
        <v>65179519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373</v>
      </c>
      <c r="J2" t="s">
        <v>3</v>
      </c>
      <c r="K2" t="s">
        <v>374</v>
      </c>
      <c r="L2">
        <v>1191</v>
      </c>
      <c r="N2">
        <v>1013</v>
      </c>
      <c r="O2" t="s">
        <v>372</v>
      </c>
      <c r="P2" t="s">
        <v>372</v>
      </c>
      <c r="Q2">
        <v>1</v>
      </c>
      <c r="X2">
        <v>0.48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0.48</v>
      </c>
      <c r="AH2">
        <v>2</v>
      </c>
      <c r="AI2">
        <v>65179521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ROW(Source!A62)</f>
        <v>62</v>
      </c>
      <c r="B3">
        <v>65179526</v>
      </c>
      <c r="C3">
        <v>65179519</v>
      </c>
      <c r="D3">
        <v>56571218</v>
      </c>
      <c r="E3">
        <v>1</v>
      </c>
      <c r="F3">
        <v>1</v>
      </c>
      <c r="G3">
        <v>1</v>
      </c>
      <c r="H3">
        <v>2</v>
      </c>
      <c r="I3" t="s">
        <v>375</v>
      </c>
      <c r="J3" t="s">
        <v>376</v>
      </c>
      <c r="K3" t="s">
        <v>377</v>
      </c>
      <c r="L3">
        <v>1368</v>
      </c>
      <c r="N3">
        <v>1011</v>
      </c>
      <c r="O3" t="s">
        <v>378</v>
      </c>
      <c r="P3" t="s">
        <v>378</v>
      </c>
      <c r="Q3">
        <v>1</v>
      </c>
      <c r="X3">
        <v>0.44</v>
      </c>
      <c r="Y3">
        <v>0</v>
      </c>
      <c r="Z3">
        <v>1609.97</v>
      </c>
      <c r="AA3">
        <v>563.76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0.44</v>
      </c>
      <c r="AH3">
        <v>2</v>
      </c>
      <c r="AI3">
        <v>65179522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ROW(Source!A62)</f>
        <v>62</v>
      </c>
      <c r="B4">
        <v>65179527</v>
      </c>
      <c r="C4">
        <v>65179519</v>
      </c>
      <c r="D4">
        <v>56572833</v>
      </c>
      <c r="E4">
        <v>1</v>
      </c>
      <c r="F4">
        <v>1</v>
      </c>
      <c r="G4">
        <v>1</v>
      </c>
      <c r="H4">
        <v>2</v>
      </c>
      <c r="I4" t="s">
        <v>380</v>
      </c>
      <c r="J4" t="s">
        <v>381</v>
      </c>
      <c r="K4" t="s">
        <v>382</v>
      </c>
      <c r="L4">
        <v>1368</v>
      </c>
      <c r="N4">
        <v>1011</v>
      </c>
      <c r="O4" t="s">
        <v>378</v>
      </c>
      <c r="P4" t="s">
        <v>378</v>
      </c>
      <c r="Q4">
        <v>1</v>
      </c>
      <c r="X4">
        <v>0.04</v>
      </c>
      <c r="Y4">
        <v>0</v>
      </c>
      <c r="Z4">
        <v>477.92</v>
      </c>
      <c r="AA4">
        <v>490.55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0.04</v>
      </c>
      <c r="AH4">
        <v>2</v>
      </c>
      <c r="AI4">
        <v>65179523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ROW(Source!A63)</f>
        <v>63</v>
      </c>
      <c r="B5">
        <v>65179534</v>
      </c>
      <c r="C5">
        <v>65179528</v>
      </c>
      <c r="D5">
        <v>37066717</v>
      </c>
      <c r="E5">
        <v>108</v>
      </c>
      <c r="F5">
        <v>1</v>
      </c>
      <c r="G5">
        <v>1</v>
      </c>
      <c r="H5">
        <v>1</v>
      </c>
      <c r="I5" t="s">
        <v>384</v>
      </c>
      <c r="J5" t="s">
        <v>3</v>
      </c>
      <c r="K5" t="s">
        <v>385</v>
      </c>
      <c r="L5">
        <v>1191</v>
      </c>
      <c r="N5">
        <v>1013</v>
      </c>
      <c r="O5" t="s">
        <v>372</v>
      </c>
      <c r="P5" t="s">
        <v>372</v>
      </c>
      <c r="Q5">
        <v>1</v>
      </c>
      <c r="X5">
        <v>0.44</v>
      </c>
      <c r="Y5">
        <v>0</v>
      </c>
      <c r="Z5">
        <v>0</v>
      </c>
      <c r="AA5">
        <v>0</v>
      </c>
      <c r="AB5">
        <v>417.33</v>
      </c>
      <c r="AC5">
        <v>0</v>
      </c>
      <c r="AD5">
        <v>1</v>
      </c>
      <c r="AE5">
        <v>1</v>
      </c>
      <c r="AF5" t="s">
        <v>3</v>
      </c>
      <c r="AG5">
        <v>0.44</v>
      </c>
      <c r="AH5">
        <v>2</v>
      </c>
      <c r="AI5">
        <v>65179529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ROW(Source!A63)</f>
        <v>63</v>
      </c>
      <c r="B6">
        <v>65179535</v>
      </c>
      <c r="C6">
        <v>65179528</v>
      </c>
      <c r="D6">
        <v>37064876</v>
      </c>
      <c r="E6">
        <v>108</v>
      </c>
      <c r="F6">
        <v>1</v>
      </c>
      <c r="G6">
        <v>1</v>
      </c>
      <c r="H6">
        <v>1</v>
      </c>
      <c r="I6" t="s">
        <v>373</v>
      </c>
      <c r="J6" t="s">
        <v>3</v>
      </c>
      <c r="K6" t="s">
        <v>374</v>
      </c>
      <c r="L6">
        <v>1191</v>
      </c>
      <c r="N6">
        <v>1013</v>
      </c>
      <c r="O6" t="s">
        <v>372</v>
      </c>
      <c r="P6" t="s">
        <v>372</v>
      </c>
      <c r="Q6">
        <v>1</v>
      </c>
      <c r="X6">
        <v>0.48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2</v>
      </c>
      <c r="AF6" t="s">
        <v>3</v>
      </c>
      <c r="AG6">
        <v>0.48</v>
      </c>
      <c r="AH6">
        <v>2</v>
      </c>
      <c r="AI6">
        <v>65179530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ROW(Source!A63)</f>
        <v>63</v>
      </c>
      <c r="B7">
        <v>65179536</v>
      </c>
      <c r="C7">
        <v>65179528</v>
      </c>
      <c r="D7">
        <v>56571417</v>
      </c>
      <c r="E7">
        <v>1</v>
      </c>
      <c r="F7">
        <v>1</v>
      </c>
      <c r="G7">
        <v>1</v>
      </c>
      <c r="H7">
        <v>2</v>
      </c>
      <c r="I7" t="s">
        <v>386</v>
      </c>
      <c r="J7" t="s">
        <v>387</v>
      </c>
      <c r="K7" t="s">
        <v>388</v>
      </c>
      <c r="L7">
        <v>1368</v>
      </c>
      <c r="N7">
        <v>1011</v>
      </c>
      <c r="O7" t="s">
        <v>378</v>
      </c>
      <c r="P7" t="s">
        <v>378</v>
      </c>
      <c r="Q7">
        <v>1</v>
      </c>
      <c r="X7">
        <v>0.24</v>
      </c>
      <c r="Y7">
        <v>0</v>
      </c>
      <c r="Z7">
        <v>1551.19</v>
      </c>
      <c r="AA7">
        <v>658.94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0.24</v>
      </c>
      <c r="AH7">
        <v>2</v>
      </c>
      <c r="AI7">
        <v>65179531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ROW(Source!A63)</f>
        <v>63</v>
      </c>
      <c r="B8">
        <v>65179537</v>
      </c>
      <c r="C8">
        <v>65179528</v>
      </c>
      <c r="D8">
        <v>56572938</v>
      </c>
      <c r="E8">
        <v>1</v>
      </c>
      <c r="F8">
        <v>1</v>
      </c>
      <c r="G8">
        <v>1</v>
      </c>
      <c r="H8">
        <v>2</v>
      </c>
      <c r="I8" t="s">
        <v>390</v>
      </c>
      <c r="J8" t="s">
        <v>391</v>
      </c>
      <c r="K8" t="s">
        <v>392</v>
      </c>
      <c r="L8">
        <v>1368</v>
      </c>
      <c r="N8">
        <v>1011</v>
      </c>
      <c r="O8" t="s">
        <v>378</v>
      </c>
      <c r="P8" t="s">
        <v>378</v>
      </c>
      <c r="Q8">
        <v>1</v>
      </c>
      <c r="X8">
        <v>0.24</v>
      </c>
      <c r="Y8">
        <v>0</v>
      </c>
      <c r="Z8">
        <v>16.66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0.24</v>
      </c>
      <c r="AH8">
        <v>2</v>
      </c>
      <c r="AI8">
        <v>65179532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ROW(Source!A63)</f>
        <v>63</v>
      </c>
      <c r="B9">
        <v>65179538</v>
      </c>
      <c r="C9">
        <v>65179528</v>
      </c>
      <c r="D9">
        <v>56572969</v>
      </c>
      <c r="E9">
        <v>1</v>
      </c>
      <c r="F9">
        <v>1</v>
      </c>
      <c r="G9">
        <v>1</v>
      </c>
      <c r="H9">
        <v>2</v>
      </c>
      <c r="I9" t="s">
        <v>393</v>
      </c>
      <c r="J9" t="s">
        <v>394</v>
      </c>
      <c r="K9" t="s">
        <v>395</v>
      </c>
      <c r="L9">
        <v>1368</v>
      </c>
      <c r="N9">
        <v>1011</v>
      </c>
      <c r="O9" t="s">
        <v>378</v>
      </c>
      <c r="P9" t="s">
        <v>378</v>
      </c>
      <c r="Q9">
        <v>1</v>
      </c>
      <c r="X9">
        <v>0.24</v>
      </c>
      <c r="Y9">
        <v>0</v>
      </c>
      <c r="Z9">
        <v>482.42</v>
      </c>
      <c r="AA9">
        <v>490.55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0.24</v>
      </c>
      <c r="AH9">
        <v>2</v>
      </c>
      <c r="AI9">
        <v>65179533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ROW(Source!A64)</f>
        <v>64</v>
      </c>
      <c r="B10">
        <v>65179544</v>
      </c>
      <c r="C10">
        <v>65179539</v>
      </c>
      <c r="D10">
        <v>37066717</v>
      </c>
      <c r="E10">
        <v>108</v>
      </c>
      <c r="F10">
        <v>1</v>
      </c>
      <c r="G10">
        <v>1</v>
      </c>
      <c r="H10">
        <v>1</v>
      </c>
      <c r="I10" t="s">
        <v>384</v>
      </c>
      <c r="J10" t="s">
        <v>3</v>
      </c>
      <c r="K10" t="s">
        <v>385</v>
      </c>
      <c r="L10">
        <v>1191</v>
      </c>
      <c r="N10">
        <v>1013</v>
      </c>
      <c r="O10" t="s">
        <v>372</v>
      </c>
      <c r="P10" t="s">
        <v>372</v>
      </c>
      <c r="Q10">
        <v>1</v>
      </c>
      <c r="X10">
        <v>0.25</v>
      </c>
      <c r="Y10">
        <v>0</v>
      </c>
      <c r="Z10">
        <v>0</v>
      </c>
      <c r="AA10">
        <v>0</v>
      </c>
      <c r="AB10">
        <v>417.33</v>
      </c>
      <c r="AC10">
        <v>0</v>
      </c>
      <c r="AD10">
        <v>1</v>
      </c>
      <c r="AE10">
        <v>1</v>
      </c>
      <c r="AF10" t="s">
        <v>3</v>
      </c>
      <c r="AG10">
        <v>0.25</v>
      </c>
      <c r="AH10">
        <v>2</v>
      </c>
      <c r="AI10">
        <v>65179540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ROW(Source!A64)</f>
        <v>64</v>
      </c>
      <c r="B11">
        <v>65179545</v>
      </c>
      <c r="C11">
        <v>65179539</v>
      </c>
      <c r="D11">
        <v>37064876</v>
      </c>
      <c r="E11">
        <v>108</v>
      </c>
      <c r="F11">
        <v>1</v>
      </c>
      <c r="G11">
        <v>1</v>
      </c>
      <c r="H11">
        <v>1</v>
      </c>
      <c r="I11" t="s">
        <v>373</v>
      </c>
      <c r="J11" t="s">
        <v>3</v>
      </c>
      <c r="K11" t="s">
        <v>374</v>
      </c>
      <c r="L11">
        <v>1191</v>
      </c>
      <c r="N11">
        <v>1013</v>
      </c>
      <c r="O11" t="s">
        <v>372</v>
      </c>
      <c r="P11" t="s">
        <v>372</v>
      </c>
      <c r="Q11">
        <v>1</v>
      </c>
      <c r="X11">
        <v>0.14000000000000001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2</v>
      </c>
      <c r="AF11" t="s">
        <v>3</v>
      </c>
      <c r="AG11">
        <v>0.14000000000000001</v>
      </c>
      <c r="AH11">
        <v>2</v>
      </c>
      <c r="AI11">
        <v>65179541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ROW(Source!A64)</f>
        <v>64</v>
      </c>
      <c r="B12">
        <v>65179546</v>
      </c>
      <c r="C12">
        <v>65179539</v>
      </c>
      <c r="D12">
        <v>56572938</v>
      </c>
      <c r="E12">
        <v>1</v>
      </c>
      <c r="F12">
        <v>1</v>
      </c>
      <c r="G12">
        <v>1</v>
      </c>
      <c r="H12">
        <v>2</v>
      </c>
      <c r="I12" t="s">
        <v>390</v>
      </c>
      <c r="J12" t="s">
        <v>391</v>
      </c>
      <c r="K12" t="s">
        <v>392</v>
      </c>
      <c r="L12">
        <v>1368</v>
      </c>
      <c r="N12">
        <v>1011</v>
      </c>
      <c r="O12" t="s">
        <v>378</v>
      </c>
      <c r="P12" t="s">
        <v>378</v>
      </c>
      <c r="Q12">
        <v>1</v>
      </c>
      <c r="X12">
        <v>0.14000000000000001</v>
      </c>
      <c r="Y12">
        <v>0</v>
      </c>
      <c r="Z12">
        <v>16.66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0.14000000000000001</v>
      </c>
      <c r="AH12">
        <v>2</v>
      </c>
      <c r="AI12">
        <v>65179542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ROW(Source!A64)</f>
        <v>64</v>
      </c>
      <c r="B13">
        <v>65179547</v>
      </c>
      <c r="C13">
        <v>65179539</v>
      </c>
      <c r="D13">
        <v>56572969</v>
      </c>
      <c r="E13">
        <v>1</v>
      </c>
      <c r="F13">
        <v>1</v>
      </c>
      <c r="G13">
        <v>1</v>
      </c>
      <c r="H13">
        <v>2</v>
      </c>
      <c r="I13" t="s">
        <v>393</v>
      </c>
      <c r="J13" t="s">
        <v>394</v>
      </c>
      <c r="K13" t="s">
        <v>395</v>
      </c>
      <c r="L13">
        <v>1368</v>
      </c>
      <c r="N13">
        <v>1011</v>
      </c>
      <c r="O13" t="s">
        <v>378</v>
      </c>
      <c r="P13" t="s">
        <v>378</v>
      </c>
      <c r="Q13">
        <v>1</v>
      </c>
      <c r="X13">
        <v>0.14000000000000001</v>
      </c>
      <c r="Y13">
        <v>0</v>
      </c>
      <c r="Z13">
        <v>482.42</v>
      </c>
      <c r="AA13">
        <v>490.55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0.14000000000000001</v>
      </c>
      <c r="AH13">
        <v>2</v>
      </c>
      <c r="AI13">
        <v>65179543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ROW(Source!A65)</f>
        <v>65</v>
      </c>
      <c r="B14">
        <v>65179758</v>
      </c>
      <c r="C14">
        <v>65178805</v>
      </c>
      <c r="D14">
        <v>63884114</v>
      </c>
      <c r="E14">
        <v>112</v>
      </c>
      <c r="F14">
        <v>1</v>
      </c>
      <c r="G14">
        <v>1</v>
      </c>
      <c r="H14">
        <v>1</v>
      </c>
      <c r="I14" t="s">
        <v>396</v>
      </c>
      <c r="J14" t="s">
        <v>3</v>
      </c>
      <c r="K14" t="s">
        <v>397</v>
      </c>
      <c r="L14">
        <v>1191</v>
      </c>
      <c r="N14">
        <v>1013</v>
      </c>
      <c r="O14" t="s">
        <v>372</v>
      </c>
      <c r="P14" t="s">
        <v>372</v>
      </c>
      <c r="Q14">
        <v>1</v>
      </c>
      <c r="X14">
        <v>1.27</v>
      </c>
      <c r="Y14">
        <v>0</v>
      </c>
      <c r="Z14">
        <v>0</v>
      </c>
      <c r="AA14">
        <v>0</v>
      </c>
      <c r="AB14">
        <v>428.31</v>
      </c>
      <c r="AC14">
        <v>0</v>
      </c>
      <c r="AD14">
        <v>1</v>
      </c>
      <c r="AE14">
        <v>1</v>
      </c>
      <c r="AF14" t="s">
        <v>3</v>
      </c>
      <c r="AG14">
        <v>1.27</v>
      </c>
      <c r="AH14">
        <v>2</v>
      </c>
      <c r="AI14">
        <v>65179758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ROW(Source!A65)</f>
        <v>65</v>
      </c>
      <c r="B15">
        <v>65179759</v>
      </c>
      <c r="C15">
        <v>65178805</v>
      </c>
      <c r="D15">
        <v>63884368</v>
      </c>
      <c r="E15">
        <v>112</v>
      </c>
      <c r="F15">
        <v>1</v>
      </c>
      <c r="G15">
        <v>1</v>
      </c>
      <c r="H15">
        <v>1</v>
      </c>
      <c r="I15" t="s">
        <v>373</v>
      </c>
      <c r="J15" t="s">
        <v>3</v>
      </c>
      <c r="K15" t="s">
        <v>374</v>
      </c>
      <c r="L15">
        <v>1191</v>
      </c>
      <c r="N15">
        <v>1013</v>
      </c>
      <c r="O15" t="s">
        <v>372</v>
      </c>
      <c r="P15" t="s">
        <v>372</v>
      </c>
      <c r="Q15">
        <v>1</v>
      </c>
      <c r="X15">
        <v>0.41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2</v>
      </c>
      <c r="AF15" t="s">
        <v>3</v>
      </c>
      <c r="AG15">
        <v>0.41</v>
      </c>
      <c r="AH15">
        <v>2</v>
      </c>
      <c r="AI15">
        <v>65179759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ROW(Source!A65)</f>
        <v>65</v>
      </c>
      <c r="B16">
        <v>65179760</v>
      </c>
      <c r="C16">
        <v>65178805</v>
      </c>
      <c r="D16">
        <v>64001688</v>
      </c>
      <c r="E16">
        <v>1</v>
      </c>
      <c r="F16">
        <v>1</v>
      </c>
      <c r="G16">
        <v>1</v>
      </c>
      <c r="H16">
        <v>2</v>
      </c>
      <c r="I16" t="s">
        <v>398</v>
      </c>
      <c r="J16" t="s">
        <v>399</v>
      </c>
      <c r="K16" t="s">
        <v>400</v>
      </c>
      <c r="L16">
        <v>1368</v>
      </c>
      <c r="N16">
        <v>1011</v>
      </c>
      <c r="O16" t="s">
        <v>378</v>
      </c>
      <c r="P16" t="s">
        <v>378</v>
      </c>
      <c r="Q16">
        <v>1</v>
      </c>
      <c r="X16">
        <v>0.35</v>
      </c>
      <c r="Y16">
        <v>0</v>
      </c>
      <c r="Z16">
        <v>346.73</v>
      </c>
      <c r="AA16">
        <v>490.55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0.35</v>
      </c>
      <c r="AH16">
        <v>2</v>
      </c>
      <c r="AI16">
        <v>65179760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ROW(Source!A65)</f>
        <v>65</v>
      </c>
      <c r="B17">
        <v>65179761</v>
      </c>
      <c r="C17">
        <v>65178805</v>
      </c>
      <c r="D17">
        <v>64002400</v>
      </c>
      <c r="E17">
        <v>1</v>
      </c>
      <c r="F17">
        <v>1</v>
      </c>
      <c r="G17">
        <v>1</v>
      </c>
      <c r="H17">
        <v>2</v>
      </c>
      <c r="I17" t="s">
        <v>380</v>
      </c>
      <c r="J17" t="s">
        <v>381</v>
      </c>
      <c r="K17" t="s">
        <v>382</v>
      </c>
      <c r="L17">
        <v>1368</v>
      </c>
      <c r="N17">
        <v>1011</v>
      </c>
      <c r="O17" t="s">
        <v>378</v>
      </c>
      <c r="P17" t="s">
        <v>378</v>
      </c>
      <c r="Q17">
        <v>1</v>
      </c>
      <c r="X17">
        <v>0.06</v>
      </c>
      <c r="Y17">
        <v>0</v>
      </c>
      <c r="Z17">
        <v>477.92</v>
      </c>
      <c r="AA17">
        <v>490.55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0.06</v>
      </c>
      <c r="AH17">
        <v>2</v>
      </c>
      <c r="AI17">
        <v>65179761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ROW(Source!A66)</f>
        <v>66</v>
      </c>
      <c r="B18">
        <v>65179552</v>
      </c>
      <c r="C18">
        <v>65178814</v>
      </c>
      <c r="D18">
        <v>63884102</v>
      </c>
      <c r="E18">
        <v>112</v>
      </c>
      <c r="F18">
        <v>1</v>
      </c>
      <c r="G18">
        <v>1</v>
      </c>
      <c r="H18">
        <v>1</v>
      </c>
      <c r="I18" t="s">
        <v>401</v>
      </c>
      <c r="J18" t="s">
        <v>3</v>
      </c>
      <c r="K18" t="s">
        <v>402</v>
      </c>
      <c r="L18">
        <v>1191</v>
      </c>
      <c r="N18">
        <v>1013</v>
      </c>
      <c r="O18" t="s">
        <v>372</v>
      </c>
      <c r="P18" t="s">
        <v>372</v>
      </c>
      <c r="Q18">
        <v>1</v>
      </c>
      <c r="X18">
        <v>0.15</v>
      </c>
      <c r="Y18">
        <v>0</v>
      </c>
      <c r="Z18">
        <v>0</v>
      </c>
      <c r="AA18">
        <v>0</v>
      </c>
      <c r="AB18">
        <v>420.99</v>
      </c>
      <c r="AC18">
        <v>0</v>
      </c>
      <c r="AD18">
        <v>1</v>
      </c>
      <c r="AE18">
        <v>1</v>
      </c>
      <c r="AF18" t="s">
        <v>100</v>
      </c>
      <c r="AG18">
        <v>0.3</v>
      </c>
      <c r="AH18">
        <v>2</v>
      </c>
      <c r="AI18">
        <v>65179552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ROW(Source!A66)</f>
        <v>66</v>
      </c>
      <c r="B19">
        <v>65179553</v>
      </c>
      <c r="C19">
        <v>65178814</v>
      </c>
      <c r="D19">
        <v>63884368</v>
      </c>
      <c r="E19">
        <v>112</v>
      </c>
      <c r="F19">
        <v>1</v>
      </c>
      <c r="G19">
        <v>1</v>
      </c>
      <c r="H19">
        <v>1</v>
      </c>
      <c r="I19" t="s">
        <v>373</v>
      </c>
      <c r="J19" t="s">
        <v>3</v>
      </c>
      <c r="K19" t="s">
        <v>374</v>
      </c>
      <c r="L19">
        <v>1191</v>
      </c>
      <c r="N19">
        <v>1013</v>
      </c>
      <c r="O19" t="s">
        <v>372</v>
      </c>
      <c r="P19" t="s">
        <v>372</v>
      </c>
      <c r="Q19">
        <v>1</v>
      </c>
      <c r="X19">
        <v>0.08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2</v>
      </c>
      <c r="AF19" t="s">
        <v>100</v>
      </c>
      <c r="AG19">
        <v>0.16</v>
      </c>
      <c r="AH19">
        <v>2</v>
      </c>
      <c r="AI19">
        <v>65179553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ROW(Source!A66)</f>
        <v>66</v>
      </c>
      <c r="B20">
        <v>65179554</v>
      </c>
      <c r="C20">
        <v>65178814</v>
      </c>
      <c r="D20">
        <v>64001688</v>
      </c>
      <c r="E20">
        <v>1</v>
      </c>
      <c r="F20">
        <v>1</v>
      </c>
      <c r="G20">
        <v>1</v>
      </c>
      <c r="H20">
        <v>2</v>
      </c>
      <c r="I20" t="s">
        <v>398</v>
      </c>
      <c r="J20" t="s">
        <v>399</v>
      </c>
      <c r="K20" t="s">
        <v>400</v>
      </c>
      <c r="L20">
        <v>1368</v>
      </c>
      <c r="N20">
        <v>1011</v>
      </c>
      <c r="O20" t="s">
        <v>378</v>
      </c>
      <c r="P20" t="s">
        <v>378</v>
      </c>
      <c r="Q20">
        <v>1</v>
      </c>
      <c r="X20">
        <v>7.0000000000000007E-2</v>
      </c>
      <c r="Y20">
        <v>0</v>
      </c>
      <c r="Z20">
        <v>346.73</v>
      </c>
      <c r="AA20">
        <v>490.55</v>
      </c>
      <c r="AB20">
        <v>0</v>
      </c>
      <c r="AC20">
        <v>0</v>
      </c>
      <c r="AD20">
        <v>1</v>
      </c>
      <c r="AE20">
        <v>0</v>
      </c>
      <c r="AF20" t="s">
        <v>100</v>
      </c>
      <c r="AG20">
        <v>0.14000000000000001</v>
      </c>
      <c r="AH20">
        <v>2</v>
      </c>
      <c r="AI20">
        <v>65179554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ROW(Source!A66)</f>
        <v>66</v>
      </c>
      <c r="B21">
        <v>65179555</v>
      </c>
      <c r="C21">
        <v>65178814</v>
      </c>
      <c r="D21">
        <v>64002400</v>
      </c>
      <c r="E21">
        <v>1</v>
      </c>
      <c r="F21">
        <v>1</v>
      </c>
      <c r="G21">
        <v>1</v>
      </c>
      <c r="H21">
        <v>2</v>
      </c>
      <c r="I21" t="s">
        <v>380</v>
      </c>
      <c r="J21" t="s">
        <v>381</v>
      </c>
      <c r="K21" t="s">
        <v>382</v>
      </c>
      <c r="L21">
        <v>1368</v>
      </c>
      <c r="N21">
        <v>1011</v>
      </c>
      <c r="O21" t="s">
        <v>378</v>
      </c>
      <c r="P21" t="s">
        <v>378</v>
      </c>
      <c r="Q21">
        <v>1</v>
      </c>
      <c r="X21">
        <v>0.01</v>
      </c>
      <c r="Y21">
        <v>0</v>
      </c>
      <c r="Z21">
        <v>477.92</v>
      </c>
      <c r="AA21">
        <v>490.55</v>
      </c>
      <c r="AB21">
        <v>0</v>
      </c>
      <c r="AC21">
        <v>0</v>
      </c>
      <c r="AD21">
        <v>1</v>
      </c>
      <c r="AE21">
        <v>0</v>
      </c>
      <c r="AF21" t="s">
        <v>100</v>
      </c>
      <c r="AG21">
        <v>0.02</v>
      </c>
      <c r="AH21">
        <v>2</v>
      </c>
      <c r="AI21">
        <v>65179555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ROW(Source!A67)</f>
        <v>67</v>
      </c>
      <c r="B22">
        <v>65179596</v>
      </c>
      <c r="C22">
        <v>65178854</v>
      </c>
      <c r="D22">
        <v>63884099</v>
      </c>
      <c r="E22">
        <v>112</v>
      </c>
      <c r="F22">
        <v>1</v>
      </c>
      <c r="G22">
        <v>1</v>
      </c>
      <c r="H22">
        <v>1</v>
      </c>
      <c r="I22" t="s">
        <v>384</v>
      </c>
      <c r="J22" t="s">
        <v>3</v>
      </c>
      <c r="K22" t="s">
        <v>403</v>
      </c>
      <c r="L22">
        <v>1191</v>
      </c>
      <c r="N22">
        <v>1013</v>
      </c>
      <c r="O22" t="s">
        <v>372</v>
      </c>
      <c r="P22" t="s">
        <v>372</v>
      </c>
      <c r="Q22">
        <v>1</v>
      </c>
      <c r="X22">
        <v>0.61</v>
      </c>
      <c r="Y22">
        <v>0</v>
      </c>
      <c r="Z22">
        <v>0</v>
      </c>
      <c r="AA22">
        <v>0</v>
      </c>
      <c r="AB22">
        <v>417.33</v>
      </c>
      <c r="AC22">
        <v>0</v>
      </c>
      <c r="AD22">
        <v>1</v>
      </c>
      <c r="AE22">
        <v>1</v>
      </c>
      <c r="AF22" t="s">
        <v>3</v>
      </c>
      <c r="AG22">
        <v>0.61</v>
      </c>
      <c r="AH22">
        <v>2</v>
      </c>
      <c r="AI22">
        <v>65179596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ROW(Source!A67)</f>
        <v>67</v>
      </c>
      <c r="B23">
        <v>65179597</v>
      </c>
      <c r="C23">
        <v>65178854</v>
      </c>
      <c r="D23">
        <v>63884368</v>
      </c>
      <c r="E23">
        <v>112</v>
      </c>
      <c r="F23">
        <v>1</v>
      </c>
      <c r="G23">
        <v>1</v>
      </c>
      <c r="H23">
        <v>1</v>
      </c>
      <c r="I23" t="s">
        <v>373</v>
      </c>
      <c r="J23" t="s">
        <v>3</v>
      </c>
      <c r="K23" t="s">
        <v>374</v>
      </c>
      <c r="L23">
        <v>1191</v>
      </c>
      <c r="N23">
        <v>1013</v>
      </c>
      <c r="O23" t="s">
        <v>372</v>
      </c>
      <c r="P23" t="s">
        <v>372</v>
      </c>
      <c r="Q23">
        <v>1</v>
      </c>
      <c r="X23">
        <v>0.03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2</v>
      </c>
      <c r="AF23" t="s">
        <v>3</v>
      </c>
      <c r="AG23">
        <v>0.03</v>
      </c>
      <c r="AH23">
        <v>2</v>
      </c>
      <c r="AI23">
        <v>65179597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ROW(Source!A67)</f>
        <v>67</v>
      </c>
      <c r="B24">
        <v>65179598</v>
      </c>
      <c r="C24">
        <v>65178854</v>
      </c>
      <c r="D24">
        <v>64002400</v>
      </c>
      <c r="E24">
        <v>1</v>
      </c>
      <c r="F24">
        <v>1</v>
      </c>
      <c r="G24">
        <v>1</v>
      </c>
      <c r="H24">
        <v>2</v>
      </c>
      <c r="I24" t="s">
        <v>380</v>
      </c>
      <c r="J24" t="s">
        <v>381</v>
      </c>
      <c r="K24" t="s">
        <v>382</v>
      </c>
      <c r="L24">
        <v>1368</v>
      </c>
      <c r="N24">
        <v>1011</v>
      </c>
      <c r="O24" t="s">
        <v>378</v>
      </c>
      <c r="P24" t="s">
        <v>378</v>
      </c>
      <c r="Q24">
        <v>1</v>
      </c>
      <c r="X24">
        <v>0.03</v>
      </c>
      <c r="Y24">
        <v>0</v>
      </c>
      <c r="Z24">
        <v>477.92</v>
      </c>
      <c r="AA24">
        <v>490.55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0.03</v>
      </c>
      <c r="AH24">
        <v>2</v>
      </c>
      <c r="AI24">
        <v>65179598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ROW(Source!A68)</f>
        <v>68</v>
      </c>
      <c r="B25">
        <v>65178873</v>
      </c>
      <c r="C25">
        <v>65178868</v>
      </c>
      <c r="D25">
        <v>37072767</v>
      </c>
      <c r="E25">
        <v>108</v>
      </c>
      <c r="F25">
        <v>1</v>
      </c>
      <c r="G25">
        <v>1</v>
      </c>
      <c r="H25">
        <v>1</v>
      </c>
      <c r="I25" t="s">
        <v>404</v>
      </c>
      <c r="J25" t="s">
        <v>3</v>
      </c>
      <c r="K25" t="s">
        <v>405</v>
      </c>
      <c r="L25">
        <v>1191</v>
      </c>
      <c r="N25">
        <v>1013</v>
      </c>
      <c r="O25" t="s">
        <v>372</v>
      </c>
      <c r="P25" t="s">
        <v>372</v>
      </c>
      <c r="Q25">
        <v>1</v>
      </c>
      <c r="X25">
        <v>0.35</v>
      </c>
      <c r="Y25">
        <v>0</v>
      </c>
      <c r="Z25">
        <v>0</v>
      </c>
      <c r="AA25">
        <v>0</v>
      </c>
      <c r="AB25">
        <v>468.58</v>
      </c>
      <c r="AC25">
        <v>0</v>
      </c>
      <c r="AD25">
        <v>1</v>
      </c>
      <c r="AE25">
        <v>1</v>
      </c>
      <c r="AF25" t="s">
        <v>112</v>
      </c>
      <c r="AG25">
        <v>0.105</v>
      </c>
      <c r="AH25">
        <v>2</v>
      </c>
      <c r="AI25">
        <v>65178869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ROW(Source!A68)</f>
        <v>68</v>
      </c>
      <c r="B26">
        <v>65178874</v>
      </c>
      <c r="C26">
        <v>65178868</v>
      </c>
      <c r="D26">
        <v>37064876</v>
      </c>
      <c r="E26">
        <v>108</v>
      </c>
      <c r="F26">
        <v>1</v>
      </c>
      <c r="G26">
        <v>1</v>
      </c>
      <c r="H26">
        <v>1</v>
      </c>
      <c r="I26" t="s">
        <v>373</v>
      </c>
      <c r="J26" t="s">
        <v>3</v>
      </c>
      <c r="K26" t="s">
        <v>374</v>
      </c>
      <c r="L26">
        <v>1191</v>
      </c>
      <c r="N26">
        <v>1013</v>
      </c>
      <c r="O26" t="s">
        <v>372</v>
      </c>
      <c r="P26" t="s">
        <v>372</v>
      </c>
      <c r="Q26">
        <v>1</v>
      </c>
      <c r="X26">
        <v>0.15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2</v>
      </c>
      <c r="AF26" t="s">
        <v>112</v>
      </c>
      <c r="AG26">
        <v>4.4999999999999998E-2</v>
      </c>
      <c r="AH26">
        <v>2</v>
      </c>
      <c r="AI26">
        <v>65178870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ROW(Source!A68)</f>
        <v>68</v>
      </c>
      <c r="B27">
        <v>65178875</v>
      </c>
      <c r="C27">
        <v>65178868</v>
      </c>
      <c r="D27">
        <v>56571417</v>
      </c>
      <c r="E27">
        <v>1</v>
      </c>
      <c r="F27">
        <v>1</v>
      </c>
      <c r="G27">
        <v>1</v>
      </c>
      <c r="H27">
        <v>2</v>
      </c>
      <c r="I27" t="s">
        <v>386</v>
      </c>
      <c r="J27" t="s">
        <v>387</v>
      </c>
      <c r="K27" t="s">
        <v>388</v>
      </c>
      <c r="L27">
        <v>1368</v>
      </c>
      <c r="N27">
        <v>1011</v>
      </c>
      <c r="O27" t="s">
        <v>378</v>
      </c>
      <c r="P27" t="s">
        <v>378</v>
      </c>
      <c r="Q27">
        <v>1</v>
      </c>
      <c r="X27">
        <v>0.15</v>
      </c>
      <c r="Y27">
        <v>0</v>
      </c>
      <c r="Z27">
        <v>1551.19</v>
      </c>
      <c r="AA27">
        <v>658.94</v>
      </c>
      <c r="AB27">
        <v>0</v>
      </c>
      <c r="AC27">
        <v>0</v>
      </c>
      <c r="AD27">
        <v>1</v>
      </c>
      <c r="AE27">
        <v>0</v>
      </c>
      <c r="AF27" t="s">
        <v>112</v>
      </c>
      <c r="AG27">
        <v>4.4999999999999998E-2</v>
      </c>
      <c r="AH27">
        <v>2</v>
      </c>
      <c r="AI27">
        <v>65178871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ROW(Source!A68)</f>
        <v>68</v>
      </c>
      <c r="B28">
        <v>65178876</v>
      </c>
      <c r="C28">
        <v>65178868</v>
      </c>
      <c r="D28">
        <v>56223463</v>
      </c>
      <c r="E28">
        <v>108</v>
      </c>
      <c r="F28">
        <v>1</v>
      </c>
      <c r="G28">
        <v>1</v>
      </c>
      <c r="H28">
        <v>3</v>
      </c>
      <c r="I28" t="s">
        <v>406</v>
      </c>
      <c r="J28" t="s">
        <v>3</v>
      </c>
      <c r="K28" t="s">
        <v>407</v>
      </c>
      <c r="L28">
        <v>3277935</v>
      </c>
      <c r="N28">
        <v>1013</v>
      </c>
      <c r="O28" t="s">
        <v>408</v>
      </c>
      <c r="P28" t="s">
        <v>408</v>
      </c>
      <c r="Q28">
        <v>1</v>
      </c>
      <c r="X28">
        <v>2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 t="s">
        <v>111</v>
      </c>
      <c r="AG28">
        <v>0</v>
      </c>
      <c r="AH28">
        <v>2</v>
      </c>
      <c r="AI28">
        <v>65178872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ROW(Source!A69)</f>
        <v>69</v>
      </c>
      <c r="B29">
        <v>65178884</v>
      </c>
      <c r="C29">
        <v>65178877</v>
      </c>
      <c r="D29">
        <v>37071037</v>
      </c>
      <c r="E29">
        <v>108</v>
      </c>
      <c r="F29">
        <v>1</v>
      </c>
      <c r="G29">
        <v>1</v>
      </c>
      <c r="H29">
        <v>1</v>
      </c>
      <c r="I29" t="s">
        <v>409</v>
      </c>
      <c r="J29" t="s">
        <v>3</v>
      </c>
      <c r="K29" t="s">
        <v>410</v>
      </c>
      <c r="L29">
        <v>1191</v>
      </c>
      <c r="N29">
        <v>1013</v>
      </c>
      <c r="O29" t="s">
        <v>372</v>
      </c>
      <c r="P29" t="s">
        <v>372</v>
      </c>
      <c r="Q29">
        <v>1</v>
      </c>
      <c r="X29">
        <v>0.4</v>
      </c>
      <c r="Y29">
        <v>0</v>
      </c>
      <c r="Z29">
        <v>0</v>
      </c>
      <c r="AA29">
        <v>0</v>
      </c>
      <c r="AB29">
        <v>490.55</v>
      </c>
      <c r="AC29">
        <v>0</v>
      </c>
      <c r="AD29">
        <v>1</v>
      </c>
      <c r="AE29">
        <v>1</v>
      </c>
      <c r="AF29" t="s">
        <v>112</v>
      </c>
      <c r="AG29">
        <v>0.12</v>
      </c>
      <c r="AH29">
        <v>2</v>
      </c>
      <c r="AI29">
        <v>65178878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ROW(Source!A69)</f>
        <v>69</v>
      </c>
      <c r="B30">
        <v>65178885</v>
      </c>
      <c r="C30">
        <v>65178877</v>
      </c>
      <c r="D30">
        <v>37064876</v>
      </c>
      <c r="E30">
        <v>108</v>
      </c>
      <c r="F30">
        <v>1</v>
      </c>
      <c r="G30">
        <v>1</v>
      </c>
      <c r="H30">
        <v>1</v>
      </c>
      <c r="I30" t="s">
        <v>373</v>
      </c>
      <c r="J30" t="s">
        <v>3</v>
      </c>
      <c r="K30" t="s">
        <v>374</v>
      </c>
      <c r="L30">
        <v>1191</v>
      </c>
      <c r="N30">
        <v>1013</v>
      </c>
      <c r="O30" t="s">
        <v>372</v>
      </c>
      <c r="P30" t="s">
        <v>372</v>
      </c>
      <c r="Q30">
        <v>1</v>
      </c>
      <c r="X30">
        <v>0.01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2</v>
      </c>
      <c r="AF30" t="s">
        <v>112</v>
      </c>
      <c r="AG30">
        <v>3.0000000000000001E-3</v>
      </c>
      <c r="AH30">
        <v>2</v>
      </c>
      <c r="AI30">
        <v>65178879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ROW(Source!A69)</f>
        <v>69</v>
      </c>
      <c r="B31">
        <v>65178886</v>
      </c>
      <c r="C31">
        <v>65178877</v>
      </c>
      <c r="D31">
        <v>56571417</v>
      </c>
      <c r="E31">
        <v>1</v>
      </c>
      <c r="F31">
        <v>1</v>
      </c>
      <c r="G31">
        <v>1</v>
      </c>
      <c r="H31">
        <v>2</v>
      </c>
      <c r="I31" t="s">
        <v>386</v>
      </c>
      <c r="J31" t="s">
        <v>387</v>
      </c>
      <c r="K31" t="s">
        <v>388</v>
      </c>
      <c r="L31">
        <v>1368</v>
      </c>
      <c r="N31">
        <v>1011</v>
      </c>
      <c r="O31" t="s">
        <v>378</v>
      </c>
      <c r="P31" t="s">
        <v>378</v>
      </c>
      <c r="Q31">
        <v>1</v>
      </c>
      <c r="X31">
        <v>7.0000000000000001E-3</v>
      </c>
      <c r="Y31">
        <v>0</v>
      </c>
      <c r="Z31">
        <v>1551.19</v>
      </c>
      <c r="AA31">
        <v>658.94</v>
      </c>
      <c r="AB31">
        <v>0</v>
      </c>
      <c r="AC31">
        <v>0</v>
      </c>
      <c r="AD31">
        <v>1</v>
      </c>
      <c r="AE31">
        <v>0</v>
      </c>
      <c r="AF31" t="s">
        <v>112</v>
      </c>
      <c r="AG31">
        <v>2.0999999999999999E-3</v>
      </c>
      <c r="AH31">
        <v>2</v>
      </c>
      <c r="AI31">
        <v>65178880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ROW(Source!A69)</f>
        <v>69</v>
      </c>
      <c r="B32">
        <v>65178887</v>
      </c>
      <c r="C32">
        <v>65178877</v>
      </c>
      <c r="D32">
        <v>56572833</v>
      </c>
      <c r="E32">
        <v>1</v>
      </c>
      <c r="F32">
        <v>1</v>
      </c>
      <c r="G32">
        <v>1</v>
      </c>
      <c r="H32">
        <v>2</v>
      </c>
      <c r="I32" t="s">
        <v>380</v>
      </c>
      <c r="J32" t="s">
        <v>381</v>
      </c>
      <c r="K32" t="s">
        <v>382</v>
      </c>
      <c r="L32">
        <v>1368</v>
      </c>
      <c r="N32">
        <v>1011</v>
      </c>
      <c r="O32" t="s">
        <v>378</v>
      </c>
      <c r="P32" t="s">
        <v>378</v>
      </c>
      <c r="Q32">
        <v>1</v>
      </c>
      <c r="X32">
        <v>7.0000000000000001E-3</v>
      </c>
      <c r="Y32">
        <v>0</v>
      </c>
      <c r="Z32">
        <v>477.92</v>
      </c>
      <c r="AA32">
        <v>490.55</v>
      </c>
      <c r="AB32">
        <v>0</v>
      </c>
      <c r="AC32">
        <v>0</v>
      </c>
      <c r="AD32">
        <v>1</v>
      </c>
      <c r="AE32">
        <v>0</v>
      </c>
      <c r="AF32" t="s">
        <v>112</v>
      </c>
      <c r="AG32">
        <v>2.0999999999999999E-3</v>
      </c>
      <c r="AH32">
        <v>2</v>
      </c>
      <c r="AI32">
        <v>65178881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ROW(Source!A69)</f>
        <v>69</v>
      </c>
      <c r="B33">
        <v>65178888</v>
      </c>
      <c r="C33">
        <v>65178877</v>
      </c>
      <c r="D33">
        <v>56580368</v>
      </c>
      <c r="E33">
        <v>1</v>
      </c>
      <c r="F33">
        <v>1</v>
      </c>
      <c r="G33">
        <v>1</v>
      </c>
      <c r="H33">
        <v>3</v>
      </c>
      <c r="I33" t="s">
        <v>411</v>
      </c>
      <c r="J33" t="s">
        <v>412</v>
      </c>
      <c r="K33" t="s">
        <v>413</v>
      </c>
      <c r="L33">
        <v>1346</v>
      </c>
      <c r="N33">
        <v>1009</v>
      </c>
      <c r="O33" t="s">
        <v>253</v>
      </c>
      <c r="P33" t="s">
        <v>253</v>
      </c>
      <c r="Q33">
        <v>1</v>
      </c>
      <c r="X33">
        <v>0.08</v>
      </c>
      <c r="Y33">
        <v>174.93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111</v>
      </c>
      <c r="AG33">
        <v>0</v>
      </c>
      <c r="AH33">
        <v>2</v>
      </c>
      <c r="AI33">
        <v>65178882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ROW(Source!A69)</f>
        <v>69</v>
      </c>
      <c r="B34">
        <v>65178889</v>
      </c>
      <c r="C34">
        <v>65178877</v>
      </c>
      <c r="D34">
        <v>56223463</v>
      </c>
      <c r="E34">
        <v>108</v>
      </c>
      <c r="F34">
        <v>1</v>
      </c>
      <c r="G34">
        <v>1</v>
      </c>
      <c r="H34">
        <v>3</v>
      </c>
      <c r="I34" t="s">
        <v>406</v>
      </c>
      <c r="J34" t="s">
        <v>3</v>
      </c>
      <c r="K34" t="s">
        <v>407</v>
      </c>
      <c r="L34">
        <v>3277935</v>
      </c>
      <c r="N34">
        <v>1013</v>
      </c>
      <c r="O34" t="s">
        <v>408</v>
      </c>
      <c r="P34" t="s">
        <v>408</v>
      </c>
      <c r="Q34">
        <v>1</v>
      </c>
      <c r="X34">
        <v>2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 t="s">
        <v>111</v>
      </c>
      <c r="AG34">
        <v>0</v>
      </c>
      <c r="AH34">
        <v>2</v>
      </c>
      <c r="AI34">
        <v>65178883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ROW(Source!A70)</f>
        <v>70</v>
      </c>
      <c r="B35">
        <v>65178902</v>
      </c>
      <c r="C35">
        <v>65178890</v>
      </c>
      <c r="D35">
        <v>37077359</v>
      </c>
      <c r="E35">
        <v>108</v>
      </c>
      <c r="F35">
        <v>1</v>
      </c>
      <c r="G35">
        <v>1</v>
      </c>
      <c r="H35">
        <v>1</v>
      </c>
      <c r="I35" t="s">
        <v>414</v>
      </c>
      <c r="J35" t="s">
        <v>3</v>
      </c>
      <c r="K35" t="s">
        <v>415</v>
      </c>
      <c r="L35">
        <v>1191</v>
      </c>
      <c r="N35">
        <v>1013</v>
      </c>
      <c r="O35" t="s">
        <v>372</v>
      </c>
      <c r="P35" t="s">
        <v>372</v>
      </c>
      <c r="Q35">
        <v>1</v>
      </c>
      <c r="X35">
        <v>4.2699999999999996</v>
      </c>
      <c r="Y35">
        <v>0</v>
      </c>
      <c r="Z35">
        <v>0</v>
      </c>
      <c r="AA35">
        <v>0</v>
      </c>
      <c r="AB35">
        <v>534.48</v>
      </c>
      <c r="AC35">
        <v>0</v>
      </c>
      <c r="AD35">
        <v>1</v>
      </c>
      <c r="AE35">
        <v>1</v>
      </c>
      <c r="AF35" t="s">
        <v>112</v>
      </c>
      <c r="AG35">
        <v>1.2809999999999999</v>
      </c>
      <c r="AH35">
        <v>2</v>
      </c>
      <c r="AI35">
        <v>65178891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ROW(Source!A70)</f>
        <v>70</v>
      </c>
      <c r="B36">
        <v>65178903</v>
      </c>
      <c r="C36">
        <v>65178890</v>
      </c>
      <c r="D36">
        <v>37064876</v>
      </c>
      <c r="E36">
        <v>108</v>
      </c>
      <c r="F36">
        <v>1</v>
      </c>
      <c r="G36">
        <v>1</v>
      </c>
      <c r="H36">
        <v>1</v>
      </c>
      <c r="I36" t="s">
        <v>373</v>
      </c>
      <c r="J36" t="s">
        <v>3</v>
      </c>
      <c r="K36" t="s">
        <v>374</v>
      </c>
      <c r="L36">
        <v>1191</v>
      </c>
      <c r="N36">
        <v>1013</v>
      </c>
      <c r="O36" t="s">
        <v>372</v>
      </c>
      <c r="P36" t="s">
        <v>372</v>
      </c>
      <c r="Q36">
        <v>1</v>
      </c>
      <c r="X36">
        <v>3.73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2</v>
      </c>
      <c r="AF36" t="s">
        <v>112</v>
      </c>
      <c r="AG36">
        <v>1.119</v>
      </c>
      <c r="AH36">
        <v>2</v>
      </c>
      <c r="AI36">
        <v>65178892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ROW(Source!A70)</f>
        <v>70</v>
      </c>
      <c r="B37">
        <v>65178904</v>
      </c>
      <c r="C37">
        <v>65178890</v>
      </c>
      <c r="D37">
        <v>56571417</v>
      </c>
      <c r="E37">
        <v>1</v>
      </c>
      <c r="F37">
        <v>1</v>
      </c>
      <c r="G37">
        <v>1</v>
      </c>
      <c r="H37">
        <v>2</v>
      </c>
      <c r="I37" t="s">
        <v>386</v>
      </c>
      <c r="J37" t="s">
        <v>387</v>
      </c>
      <c r="K37" t="s">
        <v>388</v>
      </c>
      <c r="L37">
        <v>1368</v>
      </c>
      <c r="N37">
        <v>1011</v>
      </c>
      <c r="O37" t="s">
        <v>378</v>
      </c>
      <c r="P37" t="s">
        <v>378</v>
      </c>
      <c r="Q37">
        <v>1</v>
      </c>
      <c r="X37">
        <v>0.01</v>
      </c>
      <c r="Y37">
        <v>0</v>
      </c>
      <c r="Z37">
        <v>1551.19</v>
      </c>
      <c r="AA37">
        <v>658.94</v>
      </c>
      <c r="AB37">
        <v>0</v>
      </c>
      <c r="AC37">
        <v>0</v>
      </c>
      <c r="AD37">
        <v>1</v>
      </c>
      <c r="AE37">
        <v>0</v>
      </c>
      <c r="AF37" t="s">
        <v>112</v>
      </c>
      <c r="AG37">
        <v>3.0000000000000001E-3</v>
      </c>
      <c r="AH37">
        <v>2</v>
      </c>
      <c r="AI37">
        <v>65178893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ROW(Source!A70)</f>
        <v>70</v>
      </c>
      <c r="B38">
        <v>65178905</v>
      </c>
      <c r="C38">
        <v>65178890</v>
      </c>
      <c r="D38">
        <v>56571773</v>
      </c>
      <c r="E38">
        <v>1</v>
      </c>
      <c r="F38">
        <v>1</v>
      </c>
      <c r="G38">
        <v>1</v>
      </c>
      <c r="H38">
        <v>2</v>
      </c>
      <c r="I38" t="s">
        <v>416</v>
      </c>
      <c r="J38" t="s">
        <v>417</v>
      </c>
      <c r="K38" t="s">
        <v>418</v>
      </c>
      <c r="L38">
        <v>1368</v>
      </c>
      <c r="N38">
        <v>1011</v>
      </c>
      <c r="O38" t="s">
        <v>378</v>
      </c>
      <c r="P38" t="s">
        <v>378</v>
      </c>
      <c r="Q38">
        <v>1</v>
      </c>
      <c r="X38">
        <v>3.71</v>
      </c>
      <c r="Y38">
        <v>0</v>
      </c>
      <c r="Z38">
        <v>1472.34</v>
      </c>
      <c r="AA38">
        <v>658.94</v>
      </c>
      <c r="AB38">
        <v>0</v>
      </c>
      <c r="AC38">
        <v>0</v>
      </c>
      <c r="AD38">
        <v>1</v>
      </c>
      <c r="AE38">
        <v>0</v>
      </c>
      <c r="AF38" t="s">
        <v>112</v>
      </c>
      <c r="AG38">
        <v>1.113</v>
      </c>
      <c r="AH38">
        <v>2</v>
      </c>
      <c r="AI38">
        <v>65178894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ROW(Source!A70)</f>
        <v>70</v>
      </c>
      <c r="B39">
        <v>65178906</v>
      </c>
      <c r="C39">
        <v>65178890</v>
      </c>
      <c r="D39">
        <v>56572833</v>
      </c>
      <c r="E39">
        <v>1</v>
      </c>
      <c r="F39">
        <v>1</v>
      </c>
      <c r="G39">
        <v>1</v>
      </c>
      <c r="H39">
        <v>2</v>
      </c>
      <c r="I39" t="s">
        <v>380</v>
      </c>
      <c r="J39" t="s">
        <v>381</v>
      </c>
      <c r="K39" t="s">
        <v>382</v>
      </c>
      <c r="L39">
        <v>1368</v>
      </c>
      <c r="N39">
        <v>1011</v>
      </c>
      <c r="O39" t="s">
        <v>378</v>
      </c>
      <c r="P39" t="s">
        <v>378</v>
      </c>
      <c r="Q39">
        <v>1</v>
      </c>
      <c r="X39">
        <v>0.01</v>
      </c>
      <c r="Y39">
        <v>0</v>
      </c>
      <c r="Z39">
        <v>477.92</v>
      </c>
      <c r="AA39">
        <v>490.55</v>
      </c>
      <c r="AB39">
        <v>0</v>
      </c>
      <c r="AC39">
        <v>0</v>
      </c>
      <c r="AD39">
        <v>1</v>
      </c>
      <c r="AE39">
        <v>0</v>
      </c>
      <c r="AF39" t="s">
        <v>112</v>
      </c>
      <c r="AG39">
        <v>3.0000000000000001E-3</v>
      </c>
      <c r="AH39">
        <v>2</v>
      </c>
      <c r="AI39">
        <v>65178895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ROW(Source!A70)</f>
        <v>70</v>
      </c>
      <c r="B40">
        <v>65178907</v>
      </c>
      <c r="C40">
        <v>65178890</v>
      </c>
      <c r="D40">
        <v>56578363</v>
      </c>
      <c r="E40">
        <v>1</v>
      </c>
      <c r="F40">
        <v>1</v>
      </c>
      <c r="G40">
        <v>1</v>
      </c>
      <c r="H40">
        <v>3</v>
      </c>
      <c r="I40" t="s">
        <v>419</v>
      </c>
      <c r="J40" t="s">
        <v>420</v>
      </c>
      <c r="K40" t="s">
        <v>421</v>
      </c>
      <c r="L40">
        <v>1301</v>
      </c>
      <c r="N40">
        <v>1003</v>
      </c>
      <c r="O40" t="s">
        <v>422</v>
      </c>
      <c r="P40" t="s">
        <v>422</v>
      </c>
      <c r="Q40">
        <v>1</v>
      </c>
      <c r="X40">
        <v>29.09</v>
      </c>
      <c r="Y40">
        <v>0.5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111</v>
      </c>
      <c r="AG40">
        <v>0</v>
      </c>
      <c r="AH40">
        <v>2</v>
      </c>
      <c r="AI40">
        <v>65178896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ROW(Source!A70)</f>
        <v>70</v>
      </c>
      <c r="B41">
        <v>65178908</v>
      </c>
      <c r="C41">
        <v>65178890</v>
      </c>
      <c r="D41">
        <v>56580368</v>
      </c>
      <c r="E41">
        <v>1</v>
      </c>
      <c r="F41">
        <v>1</v>
      </c>
      <c r="G41">
        <v>1</v>
      </c>
      <c r="H41">
        <v>3</v>
      </c>
      <c r="I41" t="s">
        <v>411</v>
      </c>
      <c r="J41" t="s">
        <v>412</v>
      </c>
      <c r="K41" t="s">
        <v>413</v>
      </c>
      <c r="L41">
        <v>1346</v>
      </c>
      <c r="N41">
        <v>1009</v>
      </c>
      <c r="O41" t="s">
        <v>253</v>
      </c>
      <c r="P41" t="s">
        <v>253</v>
      </c>
      <c r="Q41">
        <v>1</v>
      </c>
      <c r="X41">
        <v>0.02</v>
      </c>
      <c r="Y41">
        <v>174.93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111</v>
      </c>
      <c r="AG41">
        <v>0</v>
      </c>
      <c r="AH41">
        <v>2</v>
      </c>
      <c r="AI41">
        <v>65178897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ROW(Source!A70)</f>
        <v>70</v>
      </c>
      <c r="B42">
        <v>65178909</v>
      </c>
      <c r="C42">
        <v>65178890</v>
      </c>
      <c r="D42">
        <v>56610084</v>
      </c>
      <c r="E42">
        <v>1</v>
      </c>
      <c r="F42">
        <v>1</v>
      </c>
      <c r="G42">
        <v>1</v>
      </c>
      <c r="H42">
        <v>3</v>
      </c>
      <c r="I42" t="s">
        <v>423</v>
      </c>
      <c r="J42" t="s">
        <v>424</v>
      </c>
      <c r="K42" t="s">
        <v>425</v>
      </c>
      <c r="L42">
        <v>1346</v>
      </c>
      <c r="N42">
        <v>1009</v>
      </c>
      <c r="O42" t="s">
        <v>253</v>
      </c>
      <c r="P42" t="s">
        <v>253</v>
      </c>
      <c r="Q42">
        <v>1</v>
      </c>
      <c r="X42">
        <v>0.13</v>
      </c>
      <c r="Y42">
        <v>79.88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111</v>
      </c>
      <c r="AG42">
        <v>0</v>
      </c>
      <c r="AH42">
        <v>2</v>
      </c>
      <c r="AI42">
        <v>65178898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ROW(Source!A70)</f>
        <v>70</v>
      </c>
      <c r="B43">
        <v>65178910</v>
      </c>
      <c r="C43">
        <v>65178890</v>
      </c>
      <c r="D43">
        <v>56610130</v>
      </c>
      <c r="E43">
        <v>1</v>
      </c>
      <c r="F43">
        <v>1</v>
      </c>
      <c r="G43">
        <v>1</v>
      </c>
      <c r="H43">
        <v>3</v>
      </c>
      <c r="I43" t="s">
        <v>426</v>
      </c>
      <c r="J43" t="s">
        <v>427</v>
      </c>
      <c r="K43" t="s">
        <v>428</v>
      </c>
      <c r="L43">
        <v>1348</v>
      </c>
      <c r="N43">
        <v>1009</v>
      </c>
      <c r="O43" t="s">
        <v>244</v>
      </c>
      <c r="P43" t="s">
        <v>244</v>
      </c>
      <c r="Q43">
        <v>1000</v>
      </c>
      <c r="X43">
        <v>2.0000000000000002E-5</v>
      </c>
      <c r="Y43">
        <v>82698.14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111</v>
      </c>
      <c r="AG43">
        <v>0</v>
      </c>
      <c r="AH43">
        <v>2</v>
      </c>
      <c r="AI43">
        <v>65178899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ROW(Source!A70)</f>
        <v>70</v>
      </c>
      <c r="B44">
        <v>65178911</v>
      </c>
      <c r="C44">
        <v>65178890</v>
      </c>
      <c r="D44">
        <v>56622749</v>
      </c>
      <c r="E44">
        <v>1</v>
      </c>
      <c r="F44">
        <v>1</v>
      </c>
      <c r="G44">
        <v>1</v>
      </c>
      <c r="H44">
        <v>3</v>
      </c>
      <c r="I44" t="s">
        <v>429</v>
      </c>
      <c r="J44" t="s">
        <v>430</v>
      </c>
      <c r="K44" t="s">
        <v>431</v>
      </c>
      <c r="L44">
        <v>1407</v>
      </c>
      <c r="N44">
        <v>1013</v>
      </c>
      <c r="O44" t="s">
        <v>432</v>
      </c>
      <c r="P44" t="s">
        <v>432</v>
      </c>
      <c r="Q44">
        <v>1</v>
      </c>
      <c r="X44">
        <v>8.0000000000000002E-3</v>
      </c>
      <c r="Y44">
        <v>3658.94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111</v>
      </c>
      <c r="AG44">
        <v>0</v>
      </c>
      <c r="AH44">
        <v>2</v>
      </c>
      <c r="AI44">
        <v>65178900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ROW(Source!A70)</f>
        <v>70</v>
      </c>
      <c r="B45">
        <v>65178912</v>
      </c>
      <c r="C45">
        <v>65178890</v>
      </c>
      <c r="D45">
        <v>56223463</v>
      </c>
      <c r="E45">
        <v>108</v>
      </c>
      <c r="F45">
        <v>1</v>
      </c>
      <c r="G45">
        <v>1</v>
      </c>
      <c r="H45">
        <v>3</v>
      </c>
      <c r="I45" t="s">
        <v>406</v>
      </c>
      <c r="J45" t="s">
        <v>3</v>
      </c>
      <c r="K45" t="s">
        <v>407</v>
      </c>
      <c r="L45">
        <v>3277935</v>
      </c>
      <c r="N45">
        <v>1013</v>
      </c>
      <c r="O45" t="s">
        <v>408</v>
      </c>
      <c r="P45" t="s">
        <v>408</v>
      </c>
      <c r="Q45">
        <v>1</v>
      </c>
      <c r="X45">
        <v>2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 t="s">
        <v>111</v>
      </c>
      <c r="AG45">
        <v>0</v>
      </c>
      <c r="AH45">
        <v>2</v>
      </c>
      <c r="AI45">
        <v>65178901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ROW(Source!A71)</f>
        <v>71</v>
      </c>
      <c r="B46">
        <v>65178927</v>
      </c>
      <c r="C46">
        <v>65178918</v>
      </c>
      <c r="D46">
        <v>37064878</v>
      </c>
      <c r="E46">
        <v>108</v>
      </c>
      <c r="F46">
        <v>1</v>
      </c>
      <c r="G46">
        <v>1</v>
      </c>
      <c r="H46">
        <v>1</v>
      </c>
      <c r="I46" t="s">
        <v>433</v>
      </c>
      <c r="J46" t="s">
        <v>3</v>
      </c>
      <c r="K46" t="s">
        <v>434</v>
      </c>
      <c r="L46">
        <v>1191</v>
      </c>
      <c r="N46">
        <v>1013</v>
      </c>
      <c r="O46" t="s">
        <v>372</v>
      </c>
      <c r="P46" t="s">
        <v>372</v>
      </c>
      <c r="Q46">
        <v>1</v>
      </c>
      <c r="X46">
        <v>9.27</v>
      </c>
      <c r="Y46">
        <v>0</v>
      </c>
      <c r="Z46">
        <v>0</v>
      </c>
      <c r="AA46">
        <v>0</v>
      </c>
      <c r="AB46">
        <v>479.56</v>
      </c>
      <c r="AC46">
        <v>0</v>
      </c>
      <c r="AD46">
        <v>1</v>
      </c>
      <c r="AE46">
        <v>1</v>
      </c>
      <c r="AF46" t="s">
        <v>112</v>
      </c>
      <c r="AG46">
        <v>2.7809999999999997</v>
      </c>
      <c r="AH46">
        <v>2</v>
      </c>
      <c r="AI46">
        <v>65178919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ROW(Source!A71)</f>
        <v>71</v>
      </c>
      <c r="B47">
        <v>65178928</v>
      </c>
      <c r="C47">
        <v>65178918</v>
      </c>
      <c r="D47">
        <v>37064876</v>
      </c>
      <c r="E47">
        <v>108</v>
      </c>
      <c r="F47">
        <v>1</v>
      </c>
      <c r="G47">
        <v>1</v>
      </c>
      <c r="H47">
        <v>1</v>
      </c>
      <c r="I47" t="s">
        <v>373</v>
      </c>
      <c r="J47" t="s">
        <v>3</v>
      </c>
      <c r="K47" t="s">
        <v>374</v>
      </c>
      <c r="L47">
        <v>1191</v>
      </c>
      <c r="N47">
        <v>1013</v>
      </c>
      <c r="O47" t="s">
        <v>372</v>
      </c>
      <c r="P47" t="s">
        <v>372</v>
      </c>
      <c r="Q47">
        <v>1</v>
      </c>
      <c r="X47">
        <v>0.34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2</v>
      </c>
      <c r="AF47" t="s">
        <v>112</v>
      </c>
      <c r="AG47">
        <v>0.10200000000000001</v>
      </c>
      <c r="AH47">
        <v>2</v>
      </c>
      <c r="AI47">
        <v>65178920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ROW(Source!A71)</f>
        <v>71</v>
      </c>
      <c r="B48">
        <v>65178929</v>
      </c>
      <c r="C48">
        <v>65178918</v>
      </c>
      <c r="D48">
        <v>56571417</v>
      </c>
      <c r="E48">
        <v>1</v>
      </c>
      <c r="F48">
        <v>1</v>
      </c>
      <c r="G48">
        <v>1</v>
      </c>
      <c r="H48">
        <v>2</v>
      </c>
      <c r="I48" t="s">
        <v>386</v>
      </c>
      <c r="J48" t="s">
        <v>387</v>
      </c>
      <c r="K48" t="s">
        <v>388</v>
      </c>
      <c r="L48">
        <v>1368</v>
      </c>
      <c r="N48">
        <v>1011</v>
      </c>
      <c r="O48" t="s">
        <v>378</v>
      </c>
      <c r="P48" t="s">
        <v>378</v>
      </c>
      <c r="Q48">
        <v>1</v>
      </c>
      <c r="X48">
        <v>0.17</v>
      </c>
      <c r="Y48">
        <v>0</v>
      </c>
      <c r="Z48">
        <v>1551.19</v>
      </c>
      <c r="AA48">
        <v>658.94</v>
      </c>
      <c r="AB48">
        <v>0</v>
      </c>
      <c r="AC48">
        <v>0</v>
      </c>
      <c r="AD48">
        <v>1</v>
      </c>
      <c r="AE48">
        <v>0</v>
      </c>
      <c r="AF48" t="s">
        <v>112</v>
      </c>
      <c r="AG48">
        <v>5.1000000000000004E-2</v>
      </c>
      <c r="AH48">
        <v>2</v>
      </c>
      <c r="AI48">
        <v>65178921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ROW(Source!A71)</f>
        <v>71</v>
      </c>
      <c r="B49">
        <v>65178930</v>
      </c>
      <c r="C49">
        <v>65178918</v>
      </c>
      <c r="D49">
        <v>56572833</v>
      </c>
      <c r="E49">
        <v>1</v>
      </c>
      <c r="F49">
        <v>1</v>
      </c>
      <c r="G49">
        <v>1</v>
      </c>
      <c r="H49">
        <v>2</v>
      </c>
      <c r="I49" t="s">
        <v>380</v>
      </c>
      <c r="J49" t="s">
        <v>381</v>
      </c>
      <c r="K49" t="s">
        <v>382</v>
      </c>
      <c r="L49">
        <v>1368</v>
      </c>
      <c r="N49">
        <v>1011</v>
      </c>
      <c r="O49" t="s">
        <v>378</v>
      </c>
      <c r="P49" t="s">
        <v>378</v>
      </c>
      <c r="Q49">
        <v>1</v>
      </c>
      <c r="X49">
        <v>0.17</v>
      </c>
      <c r="Y49">
        <v>0</v>
      </c>
      <c r="Z49">
        <v>477.92</v>
      </c>
      <c r="AA49">
        <v>490.55</v>
      </c>
      <c r="AB49">
        <v>0</v>
      </c>
      <c r="AC49">
        <v>0</v>
      </c>
      <c r="AD49">
        <v>1</v>
      </c>
      <c r="AE49">
        <v>0</v>
      </c>
      <c r="AF49" t="s">
        <v>112</v>
      </c>
      <c r="AG49">
        <v>5.1000000000000004E-2</v>
      </c>
      <c r="AH49">
        <v>2</v>
      </c>
      <c r="AI49">
        <v>65178922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ROW(Source!A71)</f>
        <v>71</v>
      </c>
      <c r="B50">
        <v>65178931</v>
      </c>
      <c r="C50">
        <v>65178918</v>
      </c>
      <c r="D50">
        <v>56573153</v>
      </c>
      <c r="E50">
        <v>1</v>
      </c>
      <c r="F50">
        <v>1</v>
      </c>
      <c r="G50">
        <v>1</v>
      </c>
      <c r="H50">
        <v>2</v>
      </c>
      <c r="I50" t="s">
        <v>435</v>
      </c>
      <c r="J50" t="s">
        <v>436</v>
      </c>
      <c r="K50" t="s">
        <v>437</v>
      </c>
      <c r="L50">
        <v>1368</v>
      </c>
      <c r="N50">
        <v>1011</v>
      </c>
      <c r="O50" t="s">
        <v>378</v>
      </c>
      <c r="P50" t="s">
        <v>378</v>
      </c>
      <c r="Q50">
        <v>1</v>
      </c>
      <c r="X50">
        <v>1.51</v>
      </c>
      <c r="Y50">
        <v>0</v>
      </c>
      <c r="Z50">
        <v>26.32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112</v>
      </c>
      <c r="AG50">
        <v>0.45299999999999996</v>
      </c>
      <c r="AH50">
        <v>2</v>
      </c>
      <c r="AI50">
        <v>65178923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ROW(Source!A71)</f>
        <v>71</v>
      </c>
      <c r="B51">
        <v>65178932</v>
      </c>
      <c r="C51">
        <v>65178918</v>
      </c>
      <c r="D51">
        <v>56579266</v>
      </c>
      <c r="E51">
        <v>1</v>
      </c>
      <c r="F51">
        <v>1</v>
      </c>
      <c r="G51">
        <v>1</v>
      </c>
      <c r="H51">
        <v>3</v>
      </c>
      <c r="I51" t="s">
        <v>438</v>
      </c>
      <c r="J51" t="s">
        <v>439</v>
      </c>
      <c r="K51" t="s">
        <v>440</v>
      </c>
      <c r="L51">
        <v>1346</v>
      </c>
      <c r="N51">
        <v>1009</v>
      </c>
      <c r="O51" t="s">
        <v>253</v>
      </c>
      <c r="P51" t="s">
        <v>253</v>
      </c>
      <c r="Q51">
        <v>1</v>
      </c>
      <c r="X51">
        <v>0.65</v>
      </c>
      <c r="Y51">
        <v>155.63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111</v>
      </c>
      <c r="AG51">
        <v>0</v>
      </c>
      <c r="AH51">
        <v>2</v>
      </c>
      <c r="AI51">
        <v>65178924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ROW(Source!A71)</f>
        <v>71</v>
      </c>
      <c r="B52">
        <v>65178933</v>
      </c>
      <c r="C52">
        <v>65178918</v>
      </c>
      <c r="D52">
        <v>56609983</v>
      </c>
      <c r="E52">
        <v>1</v>
      </c>
      <c r="F52">
        <v>1</v>
      </c>
      <c r="G52">
        <v>1</v>
      </c>
      <c r="H52">
        <v>3</v>
      </c>
      <c r="I52" t="s">
        <v>441</v>
      </c>
      <c r="J52" t="s">
        <v>442</v>
      </c>
      <c r="K52" t="s">
        <v>443</v>
      </c>
      <c r="L52">
        <v>1346</v>
      </c>
      <c r="N52">
        <v>1009</v>
      </c>
      <c r="O52" t="s">
        <v>253</v>
      </c>
      <c r="P52" t="s">
        <v>253</v>
      </c>
      <c r="Q52">
        <v>1</v>
      </c>
      <c r="X52">
        <v>2</v>
      </c>
      <c r="Y52">
        <v>911.56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111</v>
      </c>
      <c r="AG52">
        <v>0</v>
      </c>
      <c r="AH52">
        <v>2</v>
      </c>
      <c r="AI52">
        <v>65178925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ROW(Source!A71)</f>
        <v>71</v>
      </c>
      <c r="B53">
        <v>65178934</v>
      </c>
      <c r="C53">
        <v>65178918</v>
      </c>
      <c r="D53">
        <v>56223463</v>
      </c>
      <c r="E53">
        <v>108</v>
      </c>
      <c r="F53">
        <v>1</v>
      </c>
      <c r="G53">
        <v>1</v>
      </c>
      <c r="H53">
        <v>3</v>
      </c>
      <c r="I53" t="s">
        <v>406</v>
      </c>
      <c r="J53" t="s">
        <v>3</v>
      </c>
      <c r="K53" t="s">
        <v>407</v>
      </c>
      <c r="L53">
        <v>3277935</v>
      </c>
      <c r="N53">
        <v>1013</v>
      </c>
      <c r="O53" t="s">
        <v>408</v>
      </c>
      <c r="P53" t="s">
        <v>408</v>
      </c>
      <c r="Q53">
        <v>1</v>
      </c>
      <c r="X53">
        <v>2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111</v>
      </c>
      <c r="AG53">
        <v>0</v>
      </c>
      <c r="AH53">
        <v>2</v>
      </c>
      <c r="AI53">
        <v>65178926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ROW(Source!A72)</f>
        <v>72</v>
      </c>
      <c r="B54">
        <v>65178945</v>
      </c>
      <c r="C54">
        <v>65178935</v>
      </c>
      <c r="D54">
        <v>37064878</v>
      </c>
      <c r="E54">
        <v>108</v>
      </c>
      <c r="F54">
        <v>1</v>
      </c>
      <c r="G54">
        <v>1</v>
      </c>
      <c r="H54">
        <v>1</v>
      </c>
      <c r="I54" t="s">
        <v>433</v>
      </c>
      <c r="J54" t="s">
        <v>3</v>
      </c>
      <c r="K54" t="s">
        <v>434</v>
      </c>
      <c r="L54">
        <v>1191</v>
      </c>
      <c r="N54">
        <v>1013</v>
      </c>
      <c r="O54" t="s">
        <v>372</v>
      </c>
      <c r="P54" t="s">
        <v>372</v>
      </c>
      <c r="Q54">
        <v>1</v>
      </c>
      <c r="X54">
        <v>18.5</v>
      </c>
      <c r="Y54">
        <v>0</v>
      </c>
      <c r="Z54">
        <v>0</v>
      </c>
      <c r="AA54">
        <v>0</v>
      </c>
      <c r="AB54">
        <v>479.56</v>
      </c>
      <c r="AC54">
        <v>0</v>
      </c>
      <c r="AD54">
        <v>1</v>
      </c>
      <c r="AE54">
        <v>1</v>
      </c>
      <c r="AF54" t="s">
        <v>112</v>
      </c>
      <c r="AG54">
        <v>5.55</v>
      </c>
      <c r="AH54">
        <v>2</v>
      </c>
      <c r="AI54">
        <v>65178936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ROW(Source!A72)</f>
        <v>72</v>
      </c>
      <c r="B55">
        <v>65178946</v>
      </c>
      <c r="C55">
        <v>65178935</v>
      </c>
      <c r="D55">
        <v>37064876</v>
      </c>
      <c r="E55">
        <v>108</v>
      </c>
      <c r="F55">
        <v>1</v>
      </c>
      <c r="G55">
        <v>1</v>
      </c>
      <c r="H55">
        <v>1</v>
      </c>
      <c r="I55" t="s">
        <v>373</v>
      </c>
      <c r="J55" t="s">
        <v>3</v>
      </c>
      <c r="K55" t="s">
        <v>374</v>
      </c>
      <c r="L55">
        <v>1191</v>
      </c>
      <c r="N55">
        <v>1013</v>
      </c>
      <c r="O55" t="s">
        <v>372</v>
      </c>
      <c r="P55" t="s">
        <v>372</v>
      </c>
      <c r="Q55">
        <v>1</v>
      </c>
      <c r="X55">
        <v>0.34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2</v>
      </c>
      <c r="AF55" t="s">
        <v>112</v>
      </c>
      <c r="AG55">
        <v>0.10200000000000001</v>
      </c>
      <c r="AH55">
        <v>2</v>
      </c>
      <c r="AI55">
        <v>65178937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ROW(Source!A72)</f>
        <v>72</v>
      </c>
      <c r="B56">
        <v>65178947</v>
      </c>
      <c r="C56">
        <v>65178935</v>
      </c>
      <c r="D56">
        <v>56571417</v>
      </c>
      <c r="E56">
        <v>1</v>
      </c>
      <c r="F56">
        <v>1</v>
      </c>
      <c r="G56">
        <v>1</v>
      </c>
      <c r="H56">
        <v>2</v>
      </c>
      <c r="I56" t="s">
        <v>386</v>
      </c>
      <c r="J56" t="s">
        <v>387</v>
      </c>
      <c r="K56" t="s">
        <v>388</v>
      </c>
      <c r="L56">
        <v>1368</v>
      </c>
      <c r="N56">
        <v>1011</v>
      </c>
      <c r="O56" t="s">
        <v>378</v>
      </c>
      <c r="P56" t="s">
        <v>378</v>
      </c>
      <c r="Q56">
        <v>1</v>
      </c>
      <c r="X56">
        <v>0.17</v>
      </c>
      <c r="Y56">
        <v>0</v>
      </c>
      <c r="Z56">
        <v>1551.19</v>
      </c>
      <c r="AA56">
        <v>658.94</v>
      </c>
      <c r="AB56">
        <v>0</v>
      </c>
      <c r="AC56">
        <v>0</v>
      </c>
      <c r="AD56">
        <v>1</v>
      </c>
      <c r="AE56">
        <v>0</v>
      </c>
      <c r="AF56" t="s">
        <v>112</v>
      </c>
      <c r="AG56">
        <v>5.1000000000000004E-2</v>
      </c>
      <c r="AH56">
        <v>2</v>
      </c>
      <c r="AI56">
        <v>65178938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ROW(Source!A72)</f>
        <v>72</v>
      </c>
      <c r="B57">
        <v>65178948</v>
      </c>
      <c r="C57">
        <v>65178935</v>
      </c>
      <c r="D57">
        <v>56572833</v>
      </c>
      <c r="E57">
        <v>1</v>
      </c>
      <c r="F57">
        <v>1</v>
      </c>
      <c r="G57">
        <v>1</v>
      </c>
      <c r="H57">
        <v>2</v>
      </c>
      <c r="I57" t="s">
        <v>380</v>
      </c>
      <c r="J57" t="s">
        <v>381</v>
      </c>
      <c r="K57" t="s">
        <v>382</v>
      </c>
      <c r="L57">
        <v>1368</v>
      </c>
      <c r="N57">
        <v>1011</v>
      </c>
      <c r="O57" t="s">
        <v>378</v>
      </c>
      <c r="P57" t="s">
        <v>378</v>
      </c>
      <c r="Q57">
        <v>1</v>
      </c>
      <c r="X57">
        <v>0.17</v>
      </c>
      <c r="Y57">
        <v>0</v>
      </c>
      <c r="Z57">
        <v>477.92</v>
      </c>
      <c r="AA57">
        <v>490.55</v>
      </c>
      <c r="AB57">
        <v>0</v>
      </c>
      <c r="AC57">
        <v>0</v>
      </c>
      <c r="AD57">
        <v>1</v>
      </c>
      <c r="AE57">
        <v>0</v>
      </c>
      <c r="AF57" t="s">
        <v>112</v>
      </c>
      <c r="AG57">
        <v>5.1000000000000004E-2</v>
      </c>
      <c r="AH57">
        <v>2</v>
      </c>
      <c r="AI57">
        <v>65178939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ROW(Source!A72)</f>
        <v>72</v>
      </c>
      <c r="B58">
        <v>65178949</v>
      </c>
      <c r="C58">
        <v>65178935</v>
      </c>
      <c r="D58">
        <v>56573153</v>
      </c>
      <c r="E58">
        <v>1</v>
      </c>
      <c r="F58">
        <v>1</v>
      </c>
      <c r="G58">
        <v>1</v>
      </c>
      <c r="H58">
        <v>2</v>
      </c>
      <c r="I58" t="s">
        <v>435</v>
      </c>
      <c r="J58" t="s">
        <v>436</v>
      </c>
      <c r="K58" t="s">
        <v>437</v>
      </c>
      <c r="L58">
        <v>1368</v>
      </c>
      <c r="N58">
        <v>1011</v>
      </c>
      <c r="O58" t="s">
        <v>378</v>
      </c>
      <c r="P58" t="s">
        <v>378</v>
      </c>
      <c r="Q58">
        <v>1</v>
      </c>
      <c r="X58">
        <v>2.9</v>
      </c>
      <c r="Y58">
        <v>0</v>
      </c>
      <c r="Z58">
        <v>26.32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112</v>
      </c>
      <c r="AG58">
        <v>0.87</v>
      </c>
      <c r="AH58">
        <v>2</v>
      </c>
      <c r="AI58">
        <v>65178940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ROW(Source!A72)</f>
        <v>72</v>
      </c>
      <c r="B59">
        <v>65178950</v>
      </c>
      <c r="C59">
        <v>65178935</v>
      </c>
      <c r="D59">
        <v>56579266</v>
      </c>
      <c r="E59">
        <v>1</v>
      </c>
      <c r="F59">
        <v>1</v>
      </c>
      <c r="G59">
        <v>1</v>
      </c>
      <c r="H59">
        <v>3</v>
      </c>
      <c r="I59" t="s">
        <v>438</v>
      </c>
      <c r="J59" t="s">
        <v>439</v>
      </c>
      <c r="K59" t="s">
        <v>440</v>
      </c>
      <c r="L59">
        <v>1346</v>
      </c>
      <c r="N59">
        <v>1009</v>
      </c>
      <c r="O59" t="s">
        <v>253</v>
      </c>
      <c r="P59" t="s">
        <v>253</v>
      </c>
      <c r="Q59">
        <v>1</v>
      </c>
      <c r="X59">
        <v>0.9</v>
      </c>
      <c r="Y59">
        <v>155.63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111</v>
      </c>
      <c r="AG59">
        <v>0</v>
      </c>
      <c r="AH59">
        <v>2</v>
      </c>
      <c r="AI59">
        <v>65178941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ROW(Source!A72)</f>
        <v>72</v>
      </c>
      <c r="B60">
        <v>65178951</v>
      </c>
      <c r="C60">
        <v>65178935</v>
      </c>
      <c r="D60">
        <v>56592692</v>
      </c>
      <c r="E60">
        <v>1</v>
      </c>
      <c r="F60">
        <v>1</v>
      </c>
      <c r="G60">
        <v>1</v>
      </c>
      <c r="H60">
        <v>3</v>
      </c>
      <c r="I60" t="s">
        <v>444</v>
      </c>
      <c r="J60" t="s">
        <v>445</v>
      </c>
      <c r="K60" t="s">
        <v>446</v>
      </c>
      <c r="L60">
        <v>1348</v>
      </c>
      <c r="N60">
        <v>1009</v>
      </c>
      <c r="O60" t="s">
        <v>244</v>
      </c>
      <c r="P60" t="s">
        <v>244</v>
      </c>
      <c r="Q60">
        <v>1000</v>
      </c>
      <c r="X60">
        <v>4.0000000000000001E-3</v>
      </c>
      <c r="Y60">
        <v>71131.5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111</v>
      </c>
      <c r="AG60">
        <v>0</v>
      </c>
      <c r="AH60">
        <v>2</v>
      </c>
      <c r="AI60">
        <v>65178942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ROW(Source!A72)</f>
        <v>72</v>
      </c>
      <c r="B61">
        <v>65178952</v>
      </c>
      <c r="C61">
        <v>65178935</v>
      </c>
      <c r="D61">
        <v>56609983</v>
      </c>
      <c r="E61">
        <v>1</v>
      </c>
      <c r="F61">
        <v>1</v>
      </c>
      <c r="G61">
        <v>1</v>
      </c>
      <c r="H61">
        <v>3</v>
      </c>
      <c r="I61" t="s">
        <v>441</v>
      </c>
      <c r="J61" t="s">
        <v>442</v>
      </c>
      <c r="K61" t="s">
        <v>443</v>
      </c>
      <c r="L61">
        <v>1346</v>
      </c>
      <c r="N61">
        <v>1009</v>
      </c>
      <c r="O61" t="s">
        <v>253</v>
      </c>
      <c r="P61" t="s">
        <v>253</v>
      </c>
      <c r="Q61">
        <v>1</v>
      </c>
      <c r="X61">
        <v>2.4</v>
      </c>
      <c r="Y61">
        <v>911.56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111</v>
      </c>
      <c r="AG61">
        <v>0</v>
      </c>
      <c r="AH61">
        <v>2</v>
      </c>
      <c r="AI61">
        <v>65178943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ROW(Source!A72)</f>
        <v>72</v>
      </c>
      <c r="B62">
        <v>65178953</v>
      </c>
      <c r="C62">
        <v>65178935</v>
      </c>
      <c r="D62">
        <v>56223463</v>
      </c>
      <c r="E62">
        <v>108</v>
      </c>
      <c r="F62">
        <v>1</v>
      </c>
      <c r="G62">
        <v>1</v>
      </c>
      <c r="H62">
        <v>3</v>
      </c>
      <c r="I62" t="s">
        <v>406</v>
      </c>
      <c r="J62" t="s">
        <v>3</v>
      </c>
      <c r="K62" t="s">
        <v>407</v>
      </c>
      <c r="L62">
        <v>3277935</v>
      </c>
      <c r="N62">
        <v>1013</v>
      </c>
      <c r="O62" t="s">
        <v>408</v>
      </c>
      <c r="P62" t="s">
        <v>408</v>
      </c>
      <c r="Q62">
        <v>1</v>
      </c>
      <c r="X62">
        <v>2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 t="s">
        <v>111</v>
      </c>
      <c r="AG62">
        <v>0</v>
      </c>
      <c r="AH62">
        <v>2</v>
      </c>
      <c r="AI62">
        <v>65178944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ROW(Source!A108)</f>
        <v>108</v>
      </c>
      <c r="B63">
        <v>65179017</v>
      </c>
      <c r="C63">
        <v>65179011</v>
      </c>
      <c r="D63">
        <v>37066717</v>
      </c>
      <c r="E63">
        <v>108</v>
      </c>
      <c r="F63">
        <v>1</v>
      </c>
      <c r="G63">
        <v>1</v>
      </c>
      <c r="H63">
        <v>1</v>
      </c>
      <c r="I63" t="s">
        <v>384</v>
      </c>
      <c r="J63" t="s">
        <v>3</v>
      </c>
      <c r="K63" t="s">
        <v>385</v>
      </c>
      <c r="L63">
        <v>1191</v>
      </c>
      <c r="N63">
        <v>1013</v>
      </c>
      <c r="O63" t="s">
        <v>372</v>
      </c>
      <c r="P63" t="s">
        <v>372</v>
      </c>
      <c r="Q63">
        <v>1</v>
      </c>
      <c r="X63">
        <v>0.44</v>
      </c>
      <c r="Y63">
        <v>0</v>
      </c>
      <c r="Z63">
        <v>0</v>
      </c>
      <c r="AA63">
        <v>0</v>
      </c>
      <c r="AB63">
        <v>417.33</v>
      </c>
      <c r="AC63">
        <v>0</v>
      </c>
      <c r="AD63">
        <v>1</v>
      </c>
      <c r="AE63">
        <v>1</v>
      </c>
      <c r="AF63" t="s">
        <v>3</v>
      </c>
      <c r="AG63">
        <v>0.44</v>
      </c>
      <c r="AH63">
        <v>2</v>
      </c>
      <c r="AI63">
        <v>65179012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ROW(Source!A108)</f>
        <v>108</v>
      </c>
      <c r="B64">
        <v>65179018</v>
      </c>
      <c r="C64">
        <v>65179011</v>
      </c>
      <c r="D64">
        <v>37064876</v>
      </c>
      <c r="E64">
        <v>108</v>
      </c>
      <c r="F64">
        <v>1</v>
      </c>
      <c r="G64">
        <v>1</v>
      </c>
      <c r="H64">
        <v>1</v>
      </c>
      <c r="I64" t="s">
        <v>373</v>
      </c>
      <c r="J64" t="s">
        <v>3</v>
      </c>
      <c r="K64" t="s">
        <v>374</v>
      </c>
      <c r="L64">
        <v>1191</v>
      </c>
      <c r="N64">
        <v>1013</v>
      </c>
      <c r="O64" t="s">
        <v>372</v>
      </c>
      <c r="P64" t="s">
        <v>372</v>
      </c>
      <c r="Q64">
        <v>1</v>
      </c>
      <c r="X64">
        <v>0.48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2</v>
      </c>
      <c r="AF64" t="s">
        <v>3</v>
      </c>
      <c r="AG64">
        <v>0.48</v>
      </c>
      <c r="AH64">
        <v>2</v>
      </c>
      <c r="AI64">
        <v>65179013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ROW(Source!A108)</f>
        <v>108</v>
      </c>
      <c r="B65">
        <v>65179019</v>
      </c>
      <c r="C65">
        <v>65179011</v>
      </c>
      <c r="D65">
        <v>56571417</v>
      </c>
      <c r="E65">
        <v>1</v>
      </c>
      <c r="F65">
        <v>1</v>
      </c>
      <c r="G65">
        <v>1</v>
      </c>
      <c r="H65">
        <v>2</v>
      </c>
      <c r="I65" t="s">
        <v>386</v>
      </c>
      <c r="J65" t="s">
        <v>387</v>
      </c>
      <c r="K65" t="s">
        <v>388</v>
      </c>
      <c r="L65">
        <v>1368</v>
      </c>
      <c r="N65">
        <v>1011</v>
      </c>
      <c r="O65" t="s">
        <v>378</v>
      </c>
      <c r="P65" t="s">
        <v>378</v>
      </c>
      <c r="Q65">
        <v>1</v>
      </c>
      <c r="X65">
        <v>0.24</v>
      </c>
      <c r="Y65">
        <v>0</v>
      </c>
      <c r="Z65">
        <v>1551.19</v>
      </c>
      <c r="AA65">
        <v>658.94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0.24</v>
      </c>
      <c r="AH65">
        <v>2</v>
      </c>
      <c r="AI65">
        <v>65179014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ROW(Source!A108)</f>
        <v>108</v>
      </c>
      <c r="B66">
        <v>65179020</v>
      </c>
      <c r="C66">
        <v>65179011</v>
      </c>
      <c r="D66">
        <v>56572938</v>
      </c>
      <c r="E66">
        <v>1</v>
      </c>
      <c r="F66">
        <v>1</v>
      </c>
      <c r="G66">
        <v>1</v>
      </c>
      <c r="H66">
        <v>2</v>
      </c>
      <c r="I66" t="s">
        <v>390</v>
      </c>
      <c r="J66" t="s">
        <v>391</v>
      </c>
      <c r="K66" t="s">
        <v>392</v>
      </c>
      <c r="L66">
        <v>1368</v>
      </c>
      <c r="N66">
        <v>1011</v>
      </c>
      <c r="O66" t="s">
        <v>378</v>
      </c>
      <c r="P66" t="s">
        <v>378</v>
      </c>
      <c r="Q66">
        <v>1</v>
      </c>
      <c r="X66">
        <v>0.24</v>
      </c>
      <c r="Y66">
        <v>0</v>
      </c>
      <c r="Z66">
        <v>16.66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0.24</v>
      </c>
      <c r="AH66">
        <v>2</v>
      </c>
      <c r="AI66">
        <v>65179015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ROW(Source!A108)</f>
        <v>108</v>
      </c>
      <c r="B67">
        <v>65179021</v>
      </c>
      <c r="C67">
        <v>65179011</v>
      </c>
      <c r="D67">
        <v>56572969</v>
      </c>
      <c r="E67">
        <v>1</v>
      </c>
      <c r="F67">
        <v>1</v>
      </c>
      <c r="G67">
        <v>1</v>
      </c>
      <c r="H67">
        <v>2</v>
      </c>
      <c r="I67" t="s">
        <v>393</v>
      </c>
      <c r="J67" t="s">
        <v>394</v>
      </c>
      <c r="K67" t="s">
        <v>395</v>
      </c>
      <c r="L67">
        <v>1368</v>
      </c>
      <c r="N67">
        <v>1011</v>
      </c>
      <c r="O67" t="s">
        <v>378</v>
      </c>
      <c r="P67" t="s">
        <v>378</v>
      </c>
      <c r="Q67">
        <v>1</v>
      </c>
      <c r="X67">
        <v>0.24</v>
      </c>
      <c r="Y67">
        <v>0</v>
      </c>
      <c r="Z67">
        <v>482.42</v>
      </c>
      <c r="AA67">
        <v>490.55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0.24</v>
      </c>
      <c r="AH67">
        <v>2</v>
      </c>
      <c r="AI67">
        <v>65179016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ROW(Source!A109)</f>
        <v>109</v>
      </c>
      <c r="B68">
        <v>65179027</v>
      </c>
      <c r="C68">
        <v>65179022</v>
      </c>
      <c r="D68">
        <v>37066717</v>
      </c>
      <c r="E68">
        <v>108</v>
      </c>
      <c r="F68">
        <v>1</v>
      </c>
      <c r="G68">
        <v>1</v>
      </c>
      <c r="H68">
        <v>1</v>
      </c>
      <c r="I68" t="s">
        <v>384</v>
      </c>
      <c r="J68" t="s">
        <v>3</v>
      </c>
      <c r="K68" t="s">
        <v>385</v>
      </c>
      <c r="L68">
        <v>1191</v>
      </c>
      <c r="N68">
        <v>1013</v>
      </c>
      <c r="O68" t="s">
        <v>372</v>
      </c>
      <c r="P68" t="s">
        <v>372</v>
      </c>
      <c r="Q68">
        <v>1</v>
      </c>
      <c r="X68">
        <v>0.25</v>
      </c>
      <c r="Y68">
        <v>0</v>
      </c>
      <c r="Z68">
        <v>0</v>
      </c>
      <c r="AA68">
        <v>0</v>
      </c>
      <c r="AB68">
        <v>417.33</v>
      </c>
      <c r="AC68">
        <v>0</v>
      </c>
      <c r="AD68">
        <v>1</v>
      </c>
      <c r="AE68">
        <v>1</v>
      </c>
      <c r="AF68" t="s">
        <v>3</v>
      </c>
      <c r="AG68">
        <v>0.25</v>
      </c>
      <c r="AH68">
        <v>2</v>
      </c>
      <c r="AI68">
        <v>65179023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ROW(Source!A109)</f>
        <v>109</v>
      </c>
      <c r="B69">
        <v>65179028</v>
      </c>
      <c r="C69">
        <v>65179022</v>
      </c>
      <c r="D69">
        <v>37064876</v>
      </c>
      <c r="E69">
        <v>108</v>
      </c>
      <c r="F69">
        <v>1</v>
      </c>
      <c r="G69">
        <v>1</v>
      </c>
      <c r="H69">
        <v>1</v>
      </c>
      <c r="I69" t="s">
        <v>373</v>
      </c>
      <c r="J69" t="s">
        <v>3</v>
      </c>
      <c r="K69" t="s">
        <v>374</v>
      </c>
      <c r="L69">
        <v>1191</v>
      </c>
      <c r="N69">
        <v>1013</v>
      </c>
      <c r="O69" t="s">
        <v>372</v>
      </c>
      <c r="P69" t="s">
        <v>372</v>
      </c>
      <c r="Q69">
        <v>1</v>
      </c>
      <c r="X69">
        <v>0.14000000000000001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2</v>
      </c>
      <c r="AF69" t="s">
        <v>3</v>
      </c>
      <c r="AG69">
        <v>0.14000000000000001</v>
      </c>
      <c r="AH69">
        <v>2</v>
      </c>
      <c r="AI69">
        <v>65179024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ROW(Source!A109)</f>
        <v>109</v>
      </c>
      <c r="B70">
        <v>65179029</v>
      </c>
      <c r="C70">
        <v>65179022</v>
      </c>
      <c r="D70">
        <v>56572938</v>
      </c>
      <c r="E70">
        <v>1</v>
      </c>
      <c r="F70">
        <v>1</v>
      </c>
      <c r="G70">
        <v>1</v>
      </c>
      <c r="H70">
        <v>2</v>
      </c>
      <c r="I70" t="s">
        <v>390</v>
      </c>
      <c r="J70" t="s">
        <v>391</v>
      </c>
      <c r="K70" t="s">
        <v>392</v>
      </c>
      <c r="L70">
        <v>1368</v>
      </c>
      <c r="N70">
        <v>1011</v>
      </c>
      <c r="O70" t="s">
        <v>378</v>
      </c>
      <c r="P70" t="s">
        <v>378</v>
      </c>
      <c r="Q70">
        <v>1</v>
      </c>
      <c r="X70">
        <v>0.14000000000000001</v>
      </c>
      <c r="Y70">
        <v>0</v>
      </c>
      <c r="Z70">
        <v>16.66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0.14000000000000001</v>
      </c>
      <c r="AH70">
        <v>2</v>
      </c>
      <c r="AI70">
        <v>65179025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ROW(Source!A109)</f>
        <v>109</v>
      </c>
      <c r="B71">
        <v>65179030</v>
      </c>
      <c r="C71">
        <v>65179022</v>
      </c>
      <c r="D71">
        <v>56572969</v>
      </c>
      <c r="E71">
        <v>1</v>
      </c>
      <c r="F71">
        <v>1</v>
      </c>
      <c r="G71">
        <v>1</v>
      </c>
      <c r="H71">
        <v>2</v>
      </c>
      <c r="I71" t="s">
        <v>393</v>
      </c>
      <c r="J71" t="s">
        <v>394</v>
      </c>
      <c r="K71" t="s">
        <v>395</v>
      </c>
      <c r="L71">
        <v>1368</v>
      </c>
      <c r="N71">
        <v>1011</v>
      </c>
      <c r="O71" t="s">
        <v>378</v>
      </c>
      <c r="P71" t="s">
        <v>378</v>
      </c>
      <c r="Q71">
        <v>1</v>
      </c>
      <c r="X71">
        <v>0.14000000000000001</v>
      </c>
      <c r="Y71">
        <v>0</v>
      </c>
      <c r="Z71">
        <v>482.42</v>
      </c>
      <c r="AA71">
        <v>490.55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0.14000000000000001</v>
      </c>
      <c r="AH71">
        <v>2</v>
      </c>
      <c r="AI71">
        <v>65179026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ROW(Source!A110)</f>
        <v>110</v>
      </c>
      <c r="B72">
        <v>65179683</v>
      </c>
      <c r="C72">
        <v>65179060</v>
      </c>
      <c r="D72">
        <v>63884131</v>
      </c>
      <c r="E72">
        <v>112</v>
      </c>
      <c r="F72">
        <v>1</v>
      </c>
      <c r="G72">
        <v>1</v>
      </c>
      <c r="H72">
        <v>1</v>
      </c>
      <c r="I72" t="s">
        <v>447</v>
      </c>
      <c r="J72" t="s">
        <v>3</v>
      </c>
      <c r="K72" t="s">
        <v>448</v>
      </c>
      <c r="L72">
        <v>1191</v>
      </c>
      <c r="N72">
        <v>1013</v>
      </c>
      <c r="O72" t="s">
        <v>372</v>
      </c>
      <c r="P72" t="s">
        <v>372</v>
      </c>
      <c r="Q72">
        <v>1</v>
      </c>
      <c r="X72">
        <v>3.06</v>
      </c>
      <c r="Y72">
        <v>0</v>
      </c>
      <c r="Z72">
        <v>0</v>
      </c>
      <c r="AA72">
        <v>0</v>
      </c>
      <c r="AB72">
        <v>452.11</v>
      </c>
      <c r="AC72">
        <v>0</v>
      </c>
      <c r="AD72">
        <v>1</v>
      </c>
      <c r="AE72">
        <v>1</v>
      </c>
      <c r="AF72" t="s">
        <v>3</v>
      </c>
      <c r="AG72">
        <v>3.06</v>
      </c>
      <c r="AH72">
        <v>2</v>
      </c>
      <c r="AI72">
        <v>65179683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ROW(Source!A110)</f>
        <v>110</v>
      </c>
      <c r="B73">
        <v>65179684</v>
      </c>
      <c r="C73">
        <v>65179060</v>
      </c>
      <c r="D73">
        <v>63884368</v>
      </c>
      <c r="E73">
        <v>112</v>
      </c>
      <c r="F73">
        <v>1</v>
      </c>
      <c r="G73">
        <v>1</v>
      </c>
      <c r="H73">
        <v>1</v>
      </c>
      <c r="I73" t="s">
        <v>373</v>
      </c>
      <c r="J73" t="s">
        <v>3</v>
      </c>
      <c r="K73" t="s">
        <v>374</v>
      </c>
      <c r="L73">
        <v>1191</v>
      </c>
      <c r="N73">
        <v>1013</v>
      </c>
      <c r="O73" t="s">
        <v>372</v>
      </c>
      <c r="P73" t="s">
        <v>372</v>
      </c>
      <c r="Q73">
        <v>1</v>
      </c>
      <c r="X73">
        <v>0.87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2</v>
      </c>
      <c r="AF73" t="s">
        <v>3</v>
      </c>
      <c r="AG73">
        <v>0.87</v>
      </c>
      <c r="AH73">
        <v>2</v>
      </c>
      <c r="AI73">
        <v>65179684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ROW(Source!A110)</f>
        <v>110</v>
      </c>
      <c r="B74">
        <v>65179685</v>
      </c>
      <c r="C74">
        <v>65179060</v>
      </c>
      <c r="D74">
        <v>64001401</v>
      </c>
      <c r="E74">
        <v>1</v>
      </c>
      <c r="F74">
        <v>1</v>
      </c>
      <c r="G74">
        <v>1</v>
      </c>
      <c r="H74">
        <v>2</v>
      </c>
      <c r="I74" t="s">
        <v>375</v>
      </c>
      <c r="J74" t="s">
        <v>449</v>
      </c>
      <c r="K74" t="s">
        <v>377</v>
      </c>
      <c r="L74">
        <v>1368</v>
      </c>
      <c r="N74">
        <v>1011</v>
      </c>
      <c r="O74" t="s">
        <v>378</v>
      </c>
      <c r="P74" t="s">
        <v>378</v>
      </c>
      <c r="Q74">
        <v>1</v>
      </c>
      <c r="X74">
        <v>0.68</v>
      </c>
      <c r="Y74">
        <v>0</v>
      </c>
      <c r="Z74">
        <v>2088.77</v>
      </c>
      <c r="AA74">
        <v>563.76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0.68</v>
      </c>
      <c r="AH74">
        <v>2</v>
      </c>
      <c r="AI74">
        <v>65179685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ROW(Source!A110)</f>
        <v>110</v>
      </c>
      <c r="B75">
        <v>65179686</v>
      </c>
      <c r="C75">
        <v>65179060</v>
      </c>
      <c r="D75">
        <v>64002400</v>
      </c>
      <c r="E75">
        <v>1</v>
      </c>
      <c r="F75">
        <v>1</v>
      </c>
      <c r="G75">
        <v>1</v>
      </c>
      <c r="H75">
        <v>2</v>
      </c>
      <c r="I75" t="s">
        <v>380</v>
      </c>
      <c r="J75" t="s">
        <v>381</v>
      </c>
      <c r="K75" t="s">
        <v>382</v>
      </c>
      <c r="L75">
        <v>1368</v>
      </c>
      <c r="N75">
        <v>1011</v>
      </c>
      <c r="O75" t="s">
        <v>378</v>
      </c>
      <c r="P75" t="s">
        <v>378</v>
      </c>
      <c r="Q75">
        <v>1</v>
      </c>
      <c r="X75">
        <v>0.19</v>
      </c>
      <c r="Y75">
        <v>0</v>
      </c>
      <c r="Z75">
        <v>477.92</v>
      </c>
      <c r="AA75">
        <v>490.55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0.19</v>
      </c>
      <c r="AH75">
        <v>2</v>
      </c>
      <c r="AI75">
        <v>65179686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ROW(Source!A110)</f>
        <v>110</v>
      </c>
      <c r="B76">
        <v>65179687</v>
      </c>
      <c r="C76">
        <v>65179060</v>
      </c>
      <c r="D76">
        <v>63953092</v>
      </c>
      <c r="E76">
        <v>1</v>
      </c>
      <c r="F76">
        <v>1</v>
      </c>
      <c r="G76">
        <v>1</v>
      </c>
      <c r="H76">
        <v>3</v>
      </c>
      <c r="I76" t="s">
        <v>450</v>
      </c>
      <c r="J76" t="s">
        <v>451</v>
      </c>
      <c r="K76" t="s">
        <v>452</v>
      </c>
      <c r="L76">
        <v>1346</v>
      </c>
      <c r="N76">
        <v>1009</v>
      </c>
      <c r="O76" t="s">
        <v>253</v>
      </c>
      <c r="P76" t="s">
        <v>253</v>
      </c>
      <c r="Q76">
        <v>1</v>
      </c>
      <c r="X76">
        <v>0.1</v>
      </c>
      <c r="Y76">
        <v>238.29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0.1</v>
      </c>
      <c r="AH76">
        <v>2</v>
      </c>
      <c r="AI76">
        <v>65179687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ROW(Source!A110)</f>
        <v>110</v>
      </c>
      <c r="B77">
        <v>65179688</v>
      </c>
      <c r="C77">
        <v>65179060</v>
      </c>
      <c r="D77">
        <v>63953099</v>
      </c>
      <c r="E77">
        <v>1</v>
      </c>
      <c r="F77">
        <v>1</v>
      </c>
      <c r="G77">
        <v>1</v>
      </c>
      <c r="H77">
        <v>3</v>
      </c>
      <c r="I77" t="s">
        <v>453</v>
      </c>
      <c r="J77" t="s">
        <v>454</v>
      </c>
      <c r="K77" t="s">
        <v>455</v>
      </c>
      <c r="L77">
        <v>1346</v>
      </c>
      <c r="N77">
        <v>1009</v>
      </c>
      <c r="O77" t="s">
        <v>253</v>
      </c>
      <c r="P77" t="s">
        <v>253</v>
      </c>
      <c r="Q77">
        <v>1</v>
      </c>
      <c r="X77">
        <v>0.03</v>
      </c>
      <c r="Y77">
        <v>58.53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0.03</v>
      </c>
      <c r="AH77">
        <v>2</v>
      </c>
      <c r="AI77">
        <v>65179688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ROW(Source!A110)</f>
        <v>110</v>
      </c>
      <c r="B78">
        <v>65179689</v>
      </c>
      <c r="C78">
        <v>65179060</v>
      </c>
      <c r="D78">
        <v>63956166</v>
      </c>
      <c r="E78">
        <v>1</v>
      </c>
      <c r="F78">
        <v>1</v>
      </c>
      <c r="G78">
        <v>1</v>
      </c>
      <c r="H78">
        <v>3</v>
      </c>
      <c r="I78" t="s">
        <v>411</v>
      </c>
      <c r="J78" t="s">
        <v>412</v>
      </c>
      <c r="K78" t="s">
        <v>413</v>
      </c>
      <c r="L78">
        <v>1346</v>
      </c>
      <c r="N78">
        <v>1009</v>
      </c>
      <c r="O78" t="s">
        <v>253</v>
      </c>
      <c r="P78" t="s">
        <v>253</v>
      </c>
      <c r="Q78">
        <v>1</v>
      </c>
      <c r="X78">
        <v>0</v>
      </c>
      <c r="Y78">
        <v>174.93</v>
      </c>
      <c r="Z78">
        <v>0</v>
      </c>
      <c r="AA78">
        <v>0</v>
      </c>
      <c r="AB78">
        <v>0</v>
      </c>
      <c r="AC78">
        <v>1</v>
      </c>
      <c r="AD78">
        <v>0</v>
      </c>
      <c r="AE78">
        <v>0</v>
      </c>
      <c r="AF78" t="s">
        <v>3</v>
      </c>
      <c r="AG78">
        <v>0</v>
      </c>
      <c r="AH78">
        <v>2</v>
      </c>
      <c r="AI78">
        <v>65179689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ROW(Source!A110)</f>
        <v>110</v>
      </c>
      <c r="B79">
        <v>65179690</v>
      </c>
      <c r="C79">
        <v>65179060</v>
      </c>
      <c r="D79">
        <v>63957293</v>
      </c>
      <c r="E79">
        <v>1</v>
      </c>
      <c r="F79">
        <v>1</v>
      </c>
      <c r="G79">
        <v>1</v>
      </c>
      <c r="H79">
        <v>3</v>
      </c>
      <c r="I79" t="s">
        <v>456</v>
      </c>
      <c r="J79" t="s">
        <v>457</v>
      </c>
      <c r="K79" t="s">
        <v>458</v>
      </c>
      <c r="L79">
        <v>1346</v>
      </c>
      <c r="N79">
        <v>1009</v>
      </c>
      <c r="O79" t="s">
        <v>253</v>
      </c>
      <c r="P79" t="s">
        <v>253</v>
      </c>
      <c r="Q79">
        <v>1</v>
      </c>
      <c r="X79">
        <v>0.02</v>
      </c>
      <c r="Y79">
        <v>56.11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0.02</v>
      </c>
      <c r="AH79">
        <v>2</v>
      </c>
      <c r="AI79">
        <v>65179690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ROW(Source!A110)</f>
        <v>110</v>
      </c>
      <c r="B80">
        <v>65179691</v>
      </c>
      <c r="C80">
        <v>65179060</v>
      </c>
      <c r="D80">
        <v>63885680</v>
      </c>
      <c r="E80">
        <v>112</v>
      </c>
      <c r="F80">
        <v>1</v>
      </c>
      <c r="G80">
        <v>1</v>
      </c>
      <c r="H80">
        <v>3</v>
      </c>
      <c r="I80" t="s">
        <v>459</v>
      </c>
      <c r="J80" t="s">
        <v>3</v>
      </c>
      <c r="K80" t="s">
        <v>460</v>
      </c>
      <c r="L80">
        <v>1371</v>
      </c>
      <c r="N80">
        <v>1013</v>
      </c>
      <c r="O80" t="s">
        <v>77</v>
      </c>
      <c r="P80" t="s">
        <v>77</v>
      </c>
      <c r="Q80">
        <v>1</v>
      </c>
      <c r="X80">
        <v>0</v>
      </c>
      <c r="Y80">
        <v>0</v>
      </c>
      <c r="Z80">
        <v>0</v>
      </c>
      <c r="AA80">
        <v>0</v>
      </c>
      <c r="AB80">
        <v>0</v>
      </c>
      <c r="AC80">
        <v>1</v>
      </c>
      <c r="AD80">
        <v>0</v>
      </c>
      <c r="AE80">
        <v>0</v>
      </c>
      <c r="AF80" t="s">
        <v>3</v>
      </c>
      <c r="AG80">
        <v>0</v>
      </c>
      <c r="AH80">
        <v>2</v>
      </c>
      <c r="AI80">
        <v>65179691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ROW(Source!A110)</f>
        <v>110</v>
      </c>
      <c r="B81">
        <v>65179692</v>
      </c>
      <c r="C81">
        <v>65179060</v>
      </c>
      <c r="D81">
        <v>63886352</v>
      </c>
      <c r="E81">
        <v>112</v>
      </c>
      <c r="F81">
        <v>1</v>
      </c>
      <c r="G81">
        <v>1</v>
      </c>
      <c r="H81">
        <v>3</v>
      </c>
      <c r="I81" t="s">
        <v>461</v>
      </c>
      <c r="J81" t="s">
        <v>3</v>
      </c>
      <c r="K81" t="s">
        <v>462</v>
      </c>
      <c r="L81">
        <v>1348</v>
      </c>
      <c r="N81">
        <v>1009</v>
      </c>
      <c r="O81" t="s">
        <v>244</v>
      </c>
      <c r="P81" t="s">
        <v>244</v>
      </c>
      <c r="Q81">
        <v>1000</v>
      </c>
      <c r="X81">
        <v>0</v>
      </c>
      <c r="Y81">
        <v>0</v>
      </c>
      <c r="Z81">
        <v>0</v>
      </c>
      <c r="AA81">
        <v>0</v>
      </c>
      <c r="AB81">
        <v>0</v>
      </c>
      <c r="AC81">
        <v>1</v>
      </c>
      <c r="AD81">
        <v>0</v>
      </c>
      <c r="AE81">
        <v>0</v>
      </c>
      <c r="AF81" t="s">
        <v>3</v>
      </c>
      <c r="AG81">
        <v>0</v>
      </c>
      <c r="AH81">
        <v>2</v>
      </c>
      <c r="AI81">
        <v>65179692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ROW(Source!A110)</f>
        <v>110</v>
      </c>
      <c r="B82">
        <v>65179693</v>
      </c>
      <c r="C82">
        <v>65179060</v>
      </c>
      <c r="D82">
        <v>63886499</v>
      </c>
      <c r="E82">
        <v>112</v>
      </c>
      <c r="F82">
        <v>1</v>
      </c>
      <c r="G82">
        <v>1</v>
      </c>
      <c r="H82">
        <v>3</v>
      </c>
      <c r="I82" t="s">
        <v>463</v>
      </c>
      <c r="J82" t="s">
        <v>3</v>
      </c>
      <c r="K82" t="s">
        <v>464</v>
      </c>
      <c r="L82">
        <v>1346</v>
      </c>
      <c r="N82">
        <v>1009</v>
      </c>
      <c r="O82" t="s">
        <v>253</v>
      </c>
      <c r="P82" t="s">
        <v>253</v>
      </c>
      <c r="Q82">
        <v>1</v>
      </c>
      <c r="X82">
        <v>0</v>
      </c>
      <c r="Y82">
        <v>0</v>
      </c>
      <c r="Z82">
        <v>0</v>
      </c>
      <c r="AA82">
        <v>0</v>
      </c>
      <c r="AB82">
        <v>0</v>
      </c>
      <c r="AC82">
        <v>1</v>
      </c>
      <c r="AD82">
        <v>0</v>
      </c>
      <c r="AE82">
        <v>0</v>
      </c>
      <c r="AF82" t="s">
        <v>3</v>
      </c>
      <c r="AG82">
        <v>0</v>
      </c>
      <c r="AH82">
        <v>2</v>
      </c>
      <c r="AI82">
        <v>65179693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ROW(Source!A110)</f>
        <v>110</v>
      </c>
      <c r="B83">
        <v>65179694</v>
      </c>
      <c r="C83">
        <v>65179060</v>
      </c>
      <c r="D83">
        <v>63886801</v>
      </c>
      <c r="E83">
        <v>112</v>
      </c>
      <c r="F83">
        <v>1</v>
      </c>
      <c r="G83">
        <v>1</v>
      </c>
      <c r="H83">
        <v>3</v>
      </c>
      <c r="I83" t="s">
        <v>465</v>
      </c>
      <c r="J83" t="s">
        <v>3</v>
      </c>
      <c r="K83" t="s">
        <v>466</v>
      </c>
      <c r="L83">
        <v>1348</v>
      </c>
      <c r="N83">
        <v>1009</v>
      </c>
      <c r="O83" t="s">
        <v>244</v>
      </c>
      <c r="P83" t="s">
        <v>244</v>
      </c>
      <c r="Q83">
        <v>1000</v>
      </c>
      <c r="X83">
        <v>0</v>
      </c>
      <c r="Y83">
        <v>0</v>
      </c>
      <c r="Z83">
        <v>0</v>
      </c>
      <c r="AA83">
        <v>0</v>
      </c>
      <c r="AB83">
        <v>0</v>
      </c>
      <c r="AC83">
        <v>1</v>
      </c>
      <c r="AD83">
        <v>0</v>
      </c>
      <c r="AE83">
        <v>0</v>
      </c>
      <c r="AF83" t="s">
        <v>3</v>
      </c>
      <c r="AG83">
        <v>0</v>
      </c>
      <c r="AH83">
        <v>2</v>
      </c>
      <c r="AI83">
        <v>65179694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ROW(Source!A110)</f>
        <v>110</v>
      </c>
      <c r="B84">
        <v>65179695</v>
      </c>
      <c r="C84">
        <v>65179060</v>
      </c>
      <c r="D84">
        <v>63972637</v>
      </c>
      <c r="E84">
        <v>1</v>
      </c>
      <c r="F84">
        <v>1</v>
      </c>
      <c r="G84">
        <v>1</v>
      </c>
      <c r="H84">
        <v>3</v>
      </c>
      <c r="I84" t="s">
        <v>467</v>
      </c>
      <c r="J84" t="s">
        <v>468</v>
      </c>
      <c r="K84" t="s">
        <v>469</v>
      </c>
      <c r="L84">
        <v>1348</v>
      </c>
      <c r="N84">
        <v>1009</v>
      </c>
      <c r="O84" t="s">
        <v>244</v>
      </c>
      <c r="P84" t="s">
        <v>244</v>
      </c>
      <c r="Q84">
        <v>1000</v>
      </c>
      <c r="X84">
        <v>4.0000000000000002E-4</v>
      </c>
      <c r="Y84">
        <v>61265.39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4.0000000000000002E-4</v>
      </c>
      <c r="AH84">
        <v>2</v>
      </c>
      <c r="AI84">
        <v>65179695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ROW(Source!A110)</f>
        <v>110</v>
      </c>
      <c r="B85">
        <v>65179696</v>
      </c>
      <c r="C85">
        <v>65179060</v>
      </c>
      <c r="D85">
        <v>63972665</v>
      </c>
      <c r="E85">
        <v>1</v>
      </c>
      <c r="F85">
        <v>1</v>
      </c>
      <c r="G85">
        <v>1</v>
      </c>
      <c r="H85">
        <v>3</v>
      </c>
      <c r="I85" t="s">
        <v>470</v>
      </c>
      <c r="J85" t="s">
        <v>471</v>
      </c>
      <c r="K85" t="s">
        <v>472</v>
      </c>
      <c r="L85">
        <v>1348</v>
      </c>
      <c r="N85">
        <v>1009</v>
      </c>
      <c r="O85" t="s">
        <v>244</v>
      </c>
      <c r="P85" t="s">
        <v>244</v>
      </c>
      <c r="Q85">
        <v>1000</v>
      </c>
      <c r="X85">
        <v>1E-4</v>
      </c>
      <c r="Y85">
        <v>80020.98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1E-4</v>
      </c>
      <c r="AH85">
        <v>2</v>
      </c>
      <c r="AI85">
        <v>65179696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ROW(Source!A110)</f>
        <v>110</v>
      </c>
      <c r="B86">
        <v>65179697</v>
      </c>
      <c r="C86">
        <v>65179060</v>
      </c>
      <c r="D86">
        <v>63980018</v>
      </c>
      <c r="E86">
        <v>1</v>
      </c>
      <c r="F86">
        <v>1</v>
      </c>
      <c r="G86">
        <v>1</v>
      </c>
      <c r="H86">
        <v>3</v>
      </c>
      <c r="I86" t="s">
        <v>473</v>
      </c>
      <c r="J86" t="s">
        <v>474</v>
      </c>
      <c r="K86" t="s">
        <v>475</v>
      </c>
      <c r="L86">
        <v>1425</v>
      </c>
      <c r="N86">
        <v>1013</v>
      </c>
      <c r="O86" t="s">
        <v>162</v>
      </c>
      <c r="P86" t="s">
        <v>162</v>
      </c>
      <c r="Q86">
        <v>1</v>
      </c>
      <c r="X86">
        <v>0.06</v>
      </c>
      <c r="Y86">
        <v>1031.73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0.06</v>
      </c>
      <c r="AH86">
        <v>2</v>
      </c>
      <c r="AI86">
        <v>65179697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ROW(Source!A110)</f>
        <v>110</v>
      </c>
      <c r="B87">
        <v>65179698</v>
      </c>
      <c r="C87">
        <v>65179060</v>
      </c>
      <c r="D87">
        <v>63889058</v>
      </c>
      <c r="E87">
        <v>112</v>
      </c>
      <c r="F87">
        <v>1</v>
      </c>
      <c r="G87">
        <v>1</v>
      </c>
      <c r="H87">
        <v>3</v>
      </c>
      <c r="I87" t="s">
        <v>476</v>
      </c>
      <c r="J87" t="s">
        <v>3</v>
      </c>
      <c r="K87" t="s">
        <v>477</v>
      </c>
      <c r="L87">
        <v>1371</v>
      </c>
      <c r="N87">
        <v>1013</v>
      </c>
      <c r="O87" t="s">
        <v>77</v>
      </c>
      <c r="P87" t="s">
        <v>77</v>
      </c>
      <c r="Q87">
        <v>1</v>
      </c>
      <c r="X87">
        <v>0</v>
      </c>
      <c r="Y87">
        <v>0</v>
      </c>
      <c r="Z87">
        <v>0</v>
      </c>
      <c r="AA87">
        <v>0</v>
      </c>
      <c r="AB87">
        <v>0</v>
      </c>
      <c r="AC87">
        <v>1</v>
      </c>
      <c r="AD87">
        <v>0</v>
      </c>
      <c r="AE87">
        <v>0</v>
      </c>
      <c r="AF87" t="s">
        <v>3</v>
      </c>
      <c r="AG87">
        <v>0</v>
      </c>
      <c r="AH87">
        <v>2</v>
      </c>
      <c r="AI87">
        <v>65179698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ROW(Source!A110)</f>
        <v>110</v>
      </c>
      <c r="B88">
        <v>65179699</v>
      </c>
      <c r="C88">
        <v>65179060</v>
      </c>
      <c r="D88">
        <v>63889103</v>
      </c>
      <c r="E88">
        <v>112</v>
      </c>
      <c r="F88">
        <v>1</v>
      </c>
      <c r="G88">
        <v>1</v>
      </c>
      <c r="H88">
        <v>3</v>
      </c>
      <c r="I88" t="s">
        <v>478</v>
      </c>
      <c r="J88" t="s">
        <v>3</v>
      </c>
      <c r="K88" t="s">
        <v>479</v>
      </c>
      <c r="L88">
        <v>1371</v>
      </c>
      <c r="N88">
        <v>1013</v>
      </c>
      <c r="O88" t="s">
        <v>77</v>
      </c>
      <c r="P88" t="s">
        <v>77</v>
      </c>
      <c r="Q88">
        <v>1</v>
      </c>
      <c r="X88">
        <v>0</v>
      </c>
      <c r="Y88">
        <v>0</v>
      </c>
      <c r="Z88">
        <v>0</v>
      </c>
      <c r="AA88">
        <v>0</v>
      </c>
      <c r="AB88">
        <v>0</v>
      </c>
      <c r="AC88">
        <v>1</v>
      </c>
      <c r="AD88">
        <v>0</v>
      </c>
      <c r="AE88">
        <v>0</v>
      </c>
      <c r="AF88" t="s">
        <v>3</v>
      </c>
      <c r="AG88">
        <v>0</v>
      </c>
      <c r="AH88">
        <v>2</v>
      </c>
      <c r="AI88">
        <v>65179699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ROW(Source!A110)</f>
        <v>110</v>
      </c>
      <c r="B89">
        <v>65179700</v>
      </c>
      <c r="C89">
        <v>65179060</v>
      </c>
      <c r="D89">
        <v>63889106</v>
      </c>
      <c r="E89">
        <v>112</v>
      </c>
      <c r="F89">
        <v>1</v>
      </c>
      <c r="G89">
        <v>1</v>
      </c>
      <c r="H89">
        <v>3</v>
      </c>
      <c r="I89" t="s">
        <v>480</v>
      </c>
      <c r="J89" t="s">
        <v>3</v>
      </c>
      <c r="K89" t="s">
        <v>481</v>
      </c>
      <c r="L89">
        <v>1371</v>
      </c>
      <c r="N89">
        <v>1013</v>
      </c>
      <c r="O89" t="s">
        <v>77</v>
      </c>
      <c r="P89" t="s">
        <v>77</v>
      </c>
      <c r="Q89">
        <v>1</v>
      </c>
      <c r="X89">
        <v>0</v>
      </c>
      <c r="Y89">
        <v>0</v>
      </c>
      <c r="Z89">
        <v>0</v>
      </c>
      <c r="AA89">
        <v>0</v>
      </c>
      <c r="AB89">
        <v>0</v>
      </c>
      <c r="AC89">
        <v>1</v>
      </c>
      <c r="AD89">
        <v>0</v>
      </c>
      <c r="AE89">
        <v>0</v>
      </c>
      <c r="AF89" t="s">
        <v>3</v>
      </c>
      <c r="AG89">
        <v>0</v>
      </c>
      <c r="AH89">
        <v>2</v>
      </c>
      <c r="AI89">
        <v>65179700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ROW(Source!A111)</f>
        <v>111</v>
      </c>
      <c r="B90">
        <v>65179738</v>
      </c>
      <c r="C90">
        <v>65179701</v>
      </c>
      <c r="D90">
        <v>63884131</v>
      </c>
      <c r="E90">
        <v>112</v>
      </c>
      <c r="F90">
        <v>1</v>
      </c>
      <c r="G90">
        <v>1</v>
      </c>
      <c r="H90">
        <v>1</v>
      </c>
      <c r="I90" t="s">
        <v>447</v>
      </c>
      <c r="J90" t="s">
        <v>3</v>
      </c>
      <c r="K90" t="s">
        <v>448</v>
      </c>
      <c r="L90">
        <v>1191</v>
      </c>
      <c r="N90">
        <v>1013</v>
      </c>
      <c r="O90" t="s">
        <v>372</v>
      </c>
      <c r="P90" t="s">
        <v>372</v>
      </c>
      <c r="Q90">
        <v>1</v>
      </c>
      <c r="X90">
        <v>5.98</v>
      </c>
      <c r="Y90">
        <v>0</v>
      </c>
      <c r="Z90">
        <v>0</v>
      </c>
      <c r="AA90">
        <v>0</v>
      </c>
      <c r="AB90">
        <v>452.11</v>
      </c>
      <c r="AC90">
        <v>0</v>
      </c>
      <c r="AD90">
        <v>1</v>
      </c>
      <c r="AE90">
        <v>1</v>
      </c>
      <c r="AF90" t="s">
        <v>3</v>
      </c>
      <c r="AG90">
        <v>5.98</v>
      </c>
      <c r="AH90">
        <v>2</v>
      </c>
      <c r="AI90">
        <v>65179738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ROW(Source!A111)</f>
        <v>111</v>
      </c>
      <c r="B91">
        <v>65179739</v>
      </c>
      <c r="C91">
        <v>65179701</v>
      </c>
      <c r="D91">
        <v>63884368</v>
      </c>
      <c r="E91">
        <v>112</v>
      </c>
      <c r="F91">
        <v>1</v>
      </c>
      <c r="G91">
        <v>1</v>
      </c>
      <c r="H91">
        <v>1</v>
      </c>
      <c r="I91" t="s">
        <v>373</v>
      </c>
      <c r="J91" t="s">
        <v>3</v>
      </c>
      <c r="K91" t="s">
        <v>374</v>
      </c>
      <c r="L91">
        <v>1191</v>
      </c>
      <c r="N91">
        <v>1013</v>
      </c>
      <c r="O91" t="s">
        <v>372</v>
      </c>
      <c r="P91" t="s">
        <v>372</v>
      </c>
      <c r="Q91">
        <v>1</v>
      </c>
      <c r="X91">
        <v>2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2</v>
      </c>
      <c r="AF91" t="s">
        <v>3</v>
      </c>
      <c r="AG91">
        <v>2</v>
      </c>
      <c r="AH91">
        <v>2</v>
      </c>
      <c r="AI91">
        <v>65179739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ROW(Source!A111)</f>
        <v>111</v>
      </c>
      <c r="B92">
        <v>65179740</v>
      </c>
      <c r="C92">
        <v>65179701</v>
      </c>
      <c r="D92">
        <v>64001401</v>
      </c>
      <c r="E92">
        <v>1</v>
      </c>
      <c r="F92">
        <v>1</v>
      </c>
      <c r="G92">
        <v>1</v>
      </c>
      <c r="H92">
        <v>2</v>
      </c>
      <c r="I92" t="s">
        <v>375</v>
      </c>
      <c r="J92" t="s">
        <v>449</v>
      </c>
      <c r="K92" t="s">
        <v>377</v>
      </c>
      <c r="L92">
        <v>1368</v>
      </c>
      <c r="N92">
        <v>1011</v>
      </c>
      <c r="O92" t="s">
        <v>378</v>
      </c>
      <c r="P92" t="s">
        <v>378</v>
      </c>
      <c r="Q92">
        <v>1</v>
      </c>
      <c r="X92">
        <v>1.6</v>
      </c>
      <c r="Y92">
        <v>0</v>
      </c>
      <c r="Z92">
        <v>2088.77</v>
      </c>
      <c r="AA92">
        <v>563.76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1.6</v>
      </c>
      <c r="AH92">
        <v>2</v>
      </c>
      <c r="AI92">
        <v>65179740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ROW(Source!A111)</f>
        <v>111</v>
      </c>
      <c r="B93">
        <v>65179741</v>
      </c>
      <c r="C93">
        <v>65179701</v>
      </c>
      <c r="D93">
        <v>64002400</v>
      </c>
      <c r="E93">
        <v>1</v>
      </c>
      <c r="F93">
        <v>1</v>
      </c>
      <c r="G93">
        <v>1</v>
      </c>
      <c r="H93">
        <v>2</v>
      </c>
      <c r="I93" t="s">
        <v>380</v>
      </c>
      <c r="J93" t="s">
        <v>381</v>
      </c>
      <c r="K93" t="s">
        <v>382</v>
      </c>
      <c r="L93">
        <v>1368</v>
      </c>
      <c r="N93">
        <v>1011</v>
      </c>
      <c r="O93" t="s">
        <v>378</v>
      </c>
      <c r="P93" t="s">
        <v>378</v>
      </c>
      <c r="Q93">
        <v>1</v>
      </c>
      <c r="X93">
        <v>0.4</v>
      </c>
      <c r="Y93">
        <v>0</v>
      </c>
      <c r="Z93">
        <v>477.92</v>
      </c>
      <c r="AA93">
        <v>490.55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0.4</v>
      </c>
      <c r="AH93">
        <v>2</v>
      </c>
      <c r="AI93">
        <v>65179741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ROW(Source!A111)</f>
        <v>111</v>
      </c>
      <c r="B94">
        <v>65179742</v>
      </c>
      <c r="C94">
        <v>65179701</v>
      </c>
      <c r="D94">
        <v>63953092</v>
      </c>
      <c r="E94">
        <v>1</v>
      </c>
      <c r="F94">
        <v>1</v>
      </c>
      <c r="G94">
        <v>1</v>
      </c>
      <c r="H94">
        <v>3</v>
      </c>
      <c r="I94" t="s">
        <v>450</v>
      </c>
      <c r="J94" t="s">
        <v>451</v>
      </c>
      <c r="K94" t="s">
        <v>452</v>
      </c>
      <c r="L94">
        <v>1346</v>
      </c>
      <c r="N94">
        <v>1009</v>
      </c>
      <c r="O94" t="s">
        <v>253</v>
      </c>
      <c r="P94" t="s">
        <v>253</v>
      </c>
      <c r="Q94">
        <v>1</v>
      </c>
      <c r="X94">
        <v>0.1</v>
      </c>
      <c r="Y94">
        <v>238.29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0.1</v>
      </c>
      <c r="AH94">
        <v>2</v>
      </c>
      <c r="AI94">
        <v>65179742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ROW(Source!A111)</f>
        <v>111</v>
      </c>
      <c r="B95">
        <v>65179743</v>
      </c>
      <c r="C95">
        <v>65179701</v>
      </c>
      <c r="D95">
        <v>63953099</v>
      </c>
      <c r="E95">
        <v>1</v>
      </c>
      <c r="F95">
        <v>1</v>
      </c>
      <c r="G95">
        <v>1</v>
      </c>
      <c r="H95">
        <v>3</v>
      </c>
      <c r="I95" t="s">
        <v>453</v>
      </c>
      <c r="J95" t="s">
        <v>454</v>
      </c>
      <c r="K95" t="s">
        <v>455</v>
      </c>
      <c r="L95">
        <v>1346</v>
      </c>
      <c r="N95">
        <v>1009</v>
      </c>
      <c r="O95" t="s">
        <v>253</v>
      </c>
      <c r="P95" t="s">
        <v>253</v>
      </c>
      <c r="Q95">
        <v>1</v>
      </c>
      <c r="X95">
        <v>0.03</v>
      </c>
      <c r="Y95">
        <v>58.53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0.03</v>
      </c>
      <c r="AH95">
        <v>2</v>
      </c>
      <c r="AI95">
        <v>65179743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ROW(Source!A111)</f>
        <v>111</v>
      </c>
      <c r="B96">
        <v>65179744</v>
      </c>
      <c r="C96">
        <v>65179701</v>
      </c>
      <c r="D96">
        <v>63956166</v>
      </c>
      <c r="E96">
        <v>1</v>
      </c>
      <c r="F96">
        <v>1</v>
      </c>
      <c r="G96">
        <v>1</v>
      </c>
      <c r="H96">
        <v>3</v>
      </c>
      <c r="I96" t="s">
        <v>411</v>
      </c>
      <c r="J96" t="s">
        <v>412</v>
      </c>
      <c r="K96" t="s">
        <v>413</v>
      </c>
      <c r="L96">
        <v>1346</v>
      </c>
      <c r="N96">
        <v>1009</v>
      </c>
      <c r="O96" t="s">
        <v>253</v>
      </c>
      <c r="P96" t="s">
        <v>253</v>
      </c>
      <c r="Q96">
        <v>1</v>
      </c>
      <c r="X96">
        <v>0</v>
      </c>
      <c r="Y96">
        <v>174.93</v>
      </c>
      <c r="Z96">
        <v>0</v>
      </c>
      <c r="AA96">
        <v>0</v>
      </c>
      <c r="AB96">
        <v>0</v>
      </c>
      <c r="AC96">
        <v>1</v>
      </c>
      <c r="AD96">
        <v>0</v>
      </c>
      <c r="AE96">
        <v>0</v>
      </c>
      <c r="AF96" t="s">
        <v>3</v>
      </c>
      <c r="AG96">
        <v>0</v>
      </c>
      <c r="AH96">
        <v>2</v>
      </c>
      <c r="AI96">
        <v>65179744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ROW(Source!A111)</f>
        <v>111</v>
      </c>
      <c r="B97">
        <v>65179745</v>
      </c>
      <c r="C97">
        <v>65179701</v>
      </c>
      <c r="D97">
        <v>63957293</v>
      </c>
      <c r="E97">
        <v>1</v>
      </c>
      <c r="F97">
        <v>1</v>
      </c>
      <c r="G97">
        <v>1</v>
      </c>
      <c r="H97">
        <v>3</v>
      </c>
      <c r="I97" t="s">
        <v>456</v>
      </c>
      <c r="J97" t="s">
        <v>457</v>
      </c>
      <c r="K97" t="s">
        <v>458</v>
      </c>
      <c r="L97">
        <v>1346</v>
      </c>
      <c r="N97">
        <v>1009</v>
      </c>
      <c r="O97" t="s">
        <v>253</v>
      </c>
      <c r="P97" t="s">
        <v>253</v>
      </c>
      <c r="Q97">
        <v>1</v>
      </c>
      <c r="X97">
        <v>0.02</v>
      </c>
      <c r="Y97">
        <v>56.11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0.02</v>
      </c>
      <c r="AH97">
        <v>2</v>
      </c>
      <c r="AI97">
        <v>65179745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ROW(Source!A111)</f>
        <v>111</v>
      </c>
      <c r="B98">
        <v>65179746</v>
      </c>
      <c r="C98">
        <v>65179701</v>
      </c>
      <c r="D98">
        <v>63885680</v>
      </c>
      <c r="E98">
        <v>112</v>
      </c>
      <c r="F98">
        <v>1</v>
      </c>
      <c r="G98">
        <v>1</v>
      </c>
      <c r="H98">
        <v>3</v>
      </c>
      <c r="I98" t="s">
        <v>459</v>
      </c>
      <c r="J98" t="s">
        <v>3</v>
      </c>
      <c r="K98" t="s">
        <v>460</v>
      </c>
      <c r="L98">
        <v>1371</v>
      </c>
      <c r="N98">
        <v>1013</v>
      </c>
      <c r="O98" t="s">
        <v>77</v>
      </c>
      <c r="P98" t="s">
        <v>77</v>
      </c>
      <c r="Q98">
        <v>1</v>
      </c>
      <c r="X98">
        <v>0</v>
      </c>
      <c r="Y98">
        <v>0</v>
      </c>
      <c r="Z98">
        <v>0</v>
      </c>
      <c r="AA98">
        <v>0</v>
      </c>
      <c r="AB98">
        <v>0</v>
      </c>
      <c r="AC98">
        <v>1</v>
      </c>
      <c r="AD98">
        <v>0</v>
      </c>
      <c r="AE98">
        <v>0</v>
      </c>
      <c r="AF98" t="s">
        <v>3</v>
      </c>
      <c r="AG98">
        <v>0</v>
      </c>
      <c r="AH98">
        <v>2</v>
      </c>
      <c r="AI98">
        <v>65179746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ROW(Source!A111)</f>
        <v>111</v>
      </c>
      <c r="B99">
        <v>65179747</v>
      </c>
      <c r="C99">
        <v>65179701</v>
      </c>
      <c r="D99">
        <v>63886352</v>
      </c>
      <c r="E99">
        <v>112</v>
      </c>
      <c r="F99">
        <v>1</v>
      </c>
      <c r="G99">
        <v>1</v>
      </c>
      <c r="H99">
        <v>3</v>
      </c>
      <c r="I99" t="s">
        <v>461</v>
      </c>
      <c r="J99" t="s">
        <v>3</v>
      </c>
      <c r="K99" t="s">
        <v>462</v>
      </c>
      <c r="L99">
        <v>1348</v>
      </c>
      <c r="N99">
        <v>1009</v>
      </c>
      <c r="O99" t="s">
        <v>244</v>
      </c>
      <c r="P99" t="s">
        <v>244</v>
      </c>
      <c r="Q99">
        <v>1000</v>
      </c>
      <c r="X99">
        <v>0</v>
      </c>
      <c r="Y99">
        <v>0</v>
      </c>
      <c r="Z99">
        <v>0</v>
      </c>
      <c r="AA99">
        <v>0</v>
      </c>
      <c r="AB99">
        <v>0</v>
      </c>
      <c r="AC99">
        <v>1</v>
      </c>
      <c r="AD99">
        <v>0</v>
      </c>
      <c r="AE99">
        <v>0</v>
      </c>
      <c r="AF99" t="s">
        <v>3</v>
      </c>
      <c r="AG99">
        <v>0</v>
      </c>
      <c r="AH99">
        <v>2</v>
      </c>
      <c r="AI99">
        <v>65179747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ROW(Source!A111)</f>
        <v>111</v>
      </c>
      <c r="B100">
        <v>65179748</v>
      </c>
      <c r="C100">
        <v>65179701</v>
      </c>
      <c r="D100">
        <v>63886499</v>
      </c>
      <c r="E100">
        <v>112</v>
      </c>
      <c r="F100">
        <v>1</v>
      </c>
      <c r="G100">
        <v>1</v>
      </c>
      <c r="H100">
        <v>3</v>
      </c>
      <c r="I100" t="s">
        <v>463</v>
      </c>
      <c r="J100" t="s">
        <v>3</v>
      </c>
      <c r="K100" t="s">
        <v>464</v>
      </c>
      <c r="L100">
        <v>1346</v>
      </c>
      <c r="N100">
        <v>1009</v>
      </c>
      <c r="O100" t="s">
        <v>253</v>
      </c>
      <c r="P100" t="s">
        <v>253</v>
      </c>
      <c r="Q100">
        <v>1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1</v>
      </c>
      <c r="AD100">
        <v>0</v>
      </c>
      <c r="AE100">
        <v>0</v>
      </c>
      <c r="AF100" t="s">
        <v>3</v>
      </c>
      <c r="AG100">
        <v>0</v>
      </c>
      <c r="AH100">
        <v>2</v>
      </c>
      <c r="AI100">
        <v>65179748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ROW(Source!A111)</f>
        <v>111</v>
      </c>
      <c r="B101">
        <v>65179749</v>
      </c>
      <c r="C101">
        <v>65179701</v>
      </c>
      <c r="D101">
        <v>63886801</v>
      </c>
      <c r="E101">
        <v>112</v>
      </c>
      <c r="F101">
        <v>1</v>
      </c>
      <c r="G101">
        <v>1</v>
      </c>
      <c r="H101">
        <v>3</v>
      </c>
      <c r="I101" t="s">
        <v>465</v>
      </c>
      <c r="J101" t="s">
        <v>3</v>
      </c>
      <c r="K101" t="s">
        <v>466</v>
      </c>
      <c r="L101">
        <v>1348</v>
      </c>
      <c r="N101">
        <v>1009</v>
      </c>
      <c r="O101" t="s">
        <v>244</v>
      </c>
      <c r="P101" t="s">
        <v>244</v>
      </c>
      <c r="Q101">
        <v>1000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1</v>
      </c>
      <c r="AD101">
        <v>0</v>
      </c>
      <c r="AE101">
        <v>0</v>
      </c>
      <c r="AF101" t="s">
        <v>3</v>
      </c>
      <c r="AG101">
        <v>0</v>
      </c>
      <c r="AH101">
        <v>2</v>
      </c>
      <c r="AI101">
        <v>65179749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ROW(Source!A111)</f>
        <v>111</v>
      </c>
      <c r="B102">
        <v>65179750</v>
      </c>
      <c r="C102">
        <v>65179701</v>
      </c>
      <c r="D102">
        <v>63972637</v>
      </c>
      <c r="E102">
        <v>1</v>
      </c>
      <c r="F102">
        <v>1</v>
      </c>
      <c r="G102">
        <v>1</v>
      </c>
      <c r="H102">
        <v>3</v>
      </c>
      <c r="I102" t="s">
        <v>467</v>
      </c>
      <c r="J102" t="s">
        <v>468</v>
      </c>
      <c r="K102" t="s">
        <v>469</v>
      </c>
      <c r="L102">
        <v>1348</v>
      </c>
      <c r="N102">
        <v>1009</v>
      </c>
      <c r="O102" t="s">
        <v>244</v>
      </c>
      <c r="P102" t="s">
        <v>244</v>
      </c>
      <c r="Q102">
        <v>1000</v>
      </c>
      <c r="X102">
        <v>4.0000000000000002E-4</v>
      </c>
      <c r="Y102">
        <v>61265.39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4.0000000000000002E-4</v>
      </c>
      <c r="AH102">
        <v>2</v>
      </c>
      <c r="AI102">
        <v>65179750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ROW(Source!A111)</f>
        <v>111</v>
      </c>
      <c r="B103">
        <v>65179751</v>
      </c>
      <c r="C103">
        <v>65179701</v>
      </c>
      <c r="D103">
        <v>63972665</v>
      </c>
      <c r="E103">
        <v>1</v>
      </c>
      <c r="F103">
        <v>1</v>
      </c>
      <c r="G103">
        <v>1</v>
      </c>
      <c r="H103">
        <v>3</v>
      </c>
      <c r="I103" t="s">
        <v>470</v>
      </c>
      <c r="J103" t="s">
        <v>471</v>
      </c>
      <c r="K103" t="s">
        <v>472</v>
      </c>
      <c r="L103">
        <v>1348</v>
      </c>
      <c r="N103">
        <v>1009</v>
      </c>
      <c r="O103" t="s">
        <v>244</v>
      </c>
      <c r="P103" t="s">
        <v>244</v>
      </c>
      <c r="Q103">
        <v>1000</v>
      </c>
      <c r="X103">
        <v>1E-4</v>
      </c>
      <c r="Y103">
        <v>80020.98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1E-4</v>
      </c>
      <c r="AH103">
        <v>2</v>
      </c>
      <c r="AI103">
        <v>65179751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ROW(Source!A111)</f>
        <v>111</v>
      </c>
      <c r="B104">
        <v>65179752</v>
      </c>
      <c r="C104">
        <v>65179701</v>
      </c>
      <c r="D104">
        <v>63980018</v>
      </c>
      <c r="E104">
        <v>1</v>
      </c>
      <c r="F104">
        <v>1</v>
      </c>
      <c r="G104">
        <v>1</v>
      </c>
      <c r="H104">
        <v>3</v>
      </c>
      <c r="I104" t="s">
        <v>473</v>
      </c>
      <c r="J104" t="s">
        <v>474</v>
      </c>
      <c r="K104" t="s">
        <v>475</v>
      </c>
      <c r="L104">
        <v>1425</v>
      </c>
      <c r="N104">
        <v>1013</v>
      </c>
      <c r="O104" t="s">
        <v>162</v>
      </c>
      <c r="P104" t="s">
        <v>162</v>
      </c>
      <c r="Q104">
        <v>1</v>
      </c>
      <c r="X104">
        <v>0.06</v>
      </c>
      <c r="Y104">
        <v>1031.73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0.06</v>
      </c>
      <c r="AH104">
        <v>2</v>
      </c>
      <c r="AI104">
        <v>65179752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ROW(Source!A111)</f>
        <v>111</v>
      </c>
      <c r="B105">
        <v>65179753</v>
      </c>
      <c r="C105">
        <v>65179701</v>
      </c>
      <c r="D105">
        <v>63889058</v>
      </c>
      <c r="E105">
        <v>112</v>
      </c>
      <c r="F105">
        <v>1</v>
      </c>
      <c r="G105">
        <v>1</v>
      </c>
      <c r="H105">
        <v>3</v>
      </c>
      <c r="I105" t="s">
        <v>476</v>
      </c>
      <c r="J105" t="s">
        <v>3</v>
      </c>
      <c r="K105" t="s">
        <v>477</v>
      </c>
      <c r="L105">
        <v>1371</v>
      </c>
      <c r="N105">
        <v>1013</v>
      </c>
      <c r="O105" t="s">
        <v>77</v>
      </c>
      <c r="P105" t="s">
        <v>77</v>
      </c>
      <c r="Q105">
        <v>1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1</v>
      </c>
      <c r="AD105">
        <v>0</v>
      </c>
      <c r="AE105">
        <v>0</v>
      </c>
      <c r="AF105" t="s">
        <v>3</v>
      </c>
      <c r="AG105">
        <v>0</v>
      </c>
      <c r="AH105">
        <v>2</v>
      </c>
      <c r="AI105">
        <v>65179753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ROW(Source!A111)</f>
        <v>111</v>
      </c>
      <c r="B106">
        <v>65179754</v>
      </c>
      <c r="C106">
        <v>65179701</v>
      </c>
      <c r="D106">
        <v>63889074</v>
      </c>
      <c r="E106">
        <v>112</v>
      </c>
      <c r="F106">
        <v>1</v>
      </c>
      <c r="G106">
        <v>1</v>
      </c>
      <c r="H106">
        <v>3</v>
      </c>
      <c r="I106" t="s">
        <v>482</v>
      </c>
      <c r="J106" t="s">
        <v>3</v>
      </c>
      <c r="K106" t="s">
        <v>483</v>
      </c>
      <c r="L106">
        <v>1346</v>
      </c>
      <c r="N106">
        <v>1009</v>
      </c>
      <c r="O106" t="s">
        <v>253</v>
      </c>
      <c r="P106" t="s">
        <v>253</v>
      </c>
      <c r="Q106">
        <v>1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1</v>
      </c>
      <c r="AD106">
        <v>0</v>
      </c>
      <c r="AE106">
        <v>0</v>
      </c>
      <c r="AF106" t="s">
        <v>3</v>
      </c>
      <c r="AG106">
        <v>0</v>
      </c>
      <c r="AH106">
        <v>2</v>
      </c>
      <c r="AI106">
        <v>65179754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ROW(Source!A111)</f>
        <v>111</v>
      </c>
      <c r="B107">
        <v>65179755</v>
      </c>
      <c r="C107">
        <v>65179701</v>
      </c>
      <c r="D107">
        <v>63889080</v>
      </c>
      <c r="E107">
        <v>112</v>
      </c>
      <c r="F107">
        <v>1</v>
      </c>
      <c r="G107">
        <v>1</v>
      </c>
      <c r="H107">
        <v>3</v>
      </c>
      <c r="I107" t="s">
        <v>484</v>
      </c>
      <c r="J107" t="s">
        <v>3</v>
      </c>
      <c r="K107" t="s">
        <v>483</v>
      </c>
      <c r="L107">
        <v>1346</v>
      </c>
      <c r="N107">
        <v>1009</v>
      </c>
      <c r="O107" t="s">
        <v>253</v>
      </c>
      <c r="P107" t="s">
        <v>253</v>
      </c>
      <c r="Q107">
        <v>1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1</v>
      </c>
      <c r="AD107">
        <v>0</v>
      </c>
      <c r="AE107">
        <v>0</v>
      </c>
      <c r="AF107" t="s">
        <v>3</v>
      </c>
      <c r="AG107">
        <v>0</v>
      </c>
      <c r="AH107">
        <v>2</v>
      </c>
      <c r="AI107">
        <v>65179755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ROW(Source!A111)</f>
        <v>111</v>
      </c>
      <c r="B108">
        <v>65179756</v>
      </c>
      <c r="C108">
        <v>65179701</v>
      </c>
      <c r="D108">
        <v>63889103</v>
      </c>
      <c r="E108">
        <v>112</v>
      </c>
      <c r="F108">
        <v>1</v>
      </c>
      <c r="G108">
        <v>1</v>
      </c>
      <c r="H108">
        <v>3</v>
      </c>
      <c r="I108" t="s">
        <v>478</v>
      </c>
      <c r="J108" t="s">
        <v>3</v>
      </c>
      <c r="K108" t="s">
        <v>479</v>
      </c>
      <c r="L108">
        <v>1371</v>
      </c>
      <c r="N108">
        <v>1013</v>
      </c>
      <c r="O108" t="s">
        <v>77</v>
      </c>
      <c r="P108" t="s">
        <v>77</v>
      </c>
      <c r="Q108">
        <v>1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1</v>
      </c>
      <c r="AD108">
        <v>0</v>
      </c>
      <c r="AE108">
        <v>0</v>
      </c>
      <c r="AF108" t="s">
        <v>3</v>
      </c>
      <c r="AG108">
        <v>0</v>
      </c>
      <c r="AH108">
        <v>2</v>
      </c>
      <c r="AI108">
        <v>65179756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ROW(Source!A111)</f>
        <v>111</v>
      </c>
      <c r="B109">
        <v>65179757</v>
      </c>
      <c r="C109">
        <v>65179701</v>
      </c>
      <c r="D109">
        <v>63889106</v>
      </c>
      <c r="E109">
        <v>112</v>
      </c>
      <c r="F109">
        <v>1</v>
      </c>
      <c r="G109">
        <v>1</v>
      </c>
      <c r="H109">
        <v>3</v>
      </c>
      <c r="I109" t="s">
        <v>480</v>
      </c>
      <c r="J109" t="s">
        <v>3</v>
      </c>
      <c r="K109" t="s">
        <v>481</v>
      </c>
      <c r="L109">
        <v>1371</v>
      </c>
      <c r="N109">
        <v>1013</v>
      </c>
      <c r="O109" t="s">
        <v>77</v>
      </c>
      <c r="P109" t="s">
        <v>77</v>
      </c>
      <c r="Q109">
        <v>1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1</v>
      </c>
      <c r="AD109">
        <v>0</v>
      </c>
      <c r="AE109">
        <v>0</v>
      </c>
      <c r="AF109" t="s">
        <v>3</v>
      </c>
      <c r="AG109">
        <v>0</v>
      </c>
      <c r="AH109">
        <v>2</v>
      </c>
      <c r="AI109">
        <v>65179757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ROW(Source!A112)</f>
        <v>112</v>
      </c>
      <c r="B110">
        <v>65179642</v>
      </c>
      <c r="C110">
        <v>65179120</v>
      </c>
      <c r="D110">
        <v>63884140</v>
      </c>
      <c r="E110">
        <v>112</v>
      </c>
      <c r="F110">
        <v>1</v>
      </c>
      <c r="G110">
        <v>1</v>
      </c>
      <c r="H110">
        <v>1</v>
      </c>
      <c r="I110" t="s">
        <v>404</v>
      </c>
      <c r="J110" t="s">
        <v>3</v>
      </c>
      <c r="K110" t="s">
        <v>485</v>
      </c>
      <c r="L110">
        <v>1191</v>
      </c>
      <c r="N110">
        <v>1013</v>
      </c>
      <c r="O110" t="s">
        <v>372</v>
      </c>
      <c r="P110" t="s">
        <v>372</v>
      </c>
      <c r="Q110">
        <v>1</v>
      </c>
      <c r="X110">
        <v>0.21</v>
      </c>
      <c r="Y110">
        <v>0</v>
      </c>
      <c r="Z110">
        <v>0</v>
      </c>
      <c r="AA110">
        <v>0</v>
      </c>
      <c r="AB110">
        <v>468.58</v>
      </c>
      <c r="AC110">
        <v>0</v>
      </c>
      <c r="AD110">
        <v>1</v>
      </c>
      <c r="AE110">
        <v>1</v>
      </c>
      <c r="AF110" t="s">
        <v>3</v>
      </c>
      <c r="AG110">
        <v>0.21</v>
      </c>
      <c r="AH110">
        <v>2</v>
      </c>
      <c r="AI110">
        <v>65179642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ROW(Source!A112)</f>
        <v>112</v>
      </c>
      <c r="B111">
        <v>65179643</v>
      </c>
      <c r="C111">
        <v>65179120</v>
      </c>
      <c r="D111">
        <v>63884368</v>
      </c>
      <c r="E111">
        <v>112</v>
      </c>
      <c r="F111">
        <v>1</v>
      </c>
      <c r="G111">
        <v>1</v>
      </c>
      <c r="H111">
        <v>1</v>
      </c>
      <c r="I111" t="s">
        <v>373</v>
      </c>
      <c r="J111" t="s">
        <v>3</v>
      </c>
      <c r="K111" t="s">
        <v>374</v>
      </c>
      <c r="L111">
        <v>1191</v>
      </c>
      <c r="N111">
        <v>1013</v>
      </c>
      <c r="O111" t="s">
        <v>372</v>
      </c>
      <c r="P111" t="s">
        <v>372</v>
      </c>
      <c r="Q111">
        <v>1</v>
      </c>
      <c r="X111">
        <v>0.27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2</v>
      </c>
      <c r="AF111" t="s">
        <v>3</v>
      </c>
      <c r="AG111">
        <v>0.27</v>
      </c>
      <c r="AH111">
        <v>2</v>
      </c>
      <c r="AI111">
        <v>65179643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ROW(Source!A112)</f>
        <v>112</v>
      </c>
      <c r="B112">
        <v>65179644</v>
      </c>
      <c r="C112">
        <v>65179120</v>
      </c>
      <c r="D112">
        <v>64001515</v>
      </c>
      <c r="E112">
        <v>1</v>
      </c>
      <c r="F112">
        <v>1</v>
      </c>
      <c r="G112">
        <v>1</v>
      </c>
      <c r="H112">
        <v>2</v>
      </c>
      <c r="I112" t="s">
        <v>386</v>
      </c>
      <c r="J112" t="s">
        <v>387</v>
      </c>
      <c r="K112" t="s">
        <v>388</v>
      </c>
      <c r="L112">
        <v>1368</v>
      </c>
      <c r="N112">
        <v>1011</v>
      </c>
      <c r="O112" t="s">
        <v>378</v>
      </c>
      <c r="P112" t="s">
        <v>378</v>
      </c>
      <c r="Q112">
        <v>1</v>
      </c>
      <c r="X112">
        <v>0.27</v>
      </c>
      <c r="Y112">
        <v>0</v>
      </c>
      <c r="Z112">
        <v>1551.19</v>
      </c>
      <c r="AA112">
        <v>658.94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0.27</v>
      </c>
      <c r="AH112">
        <v>2</v>
      </c>
      <c r="AI112">
        <v>65179644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ROW(Source!A112)</f>
        <v>112</v>
      </c>
      <c r="B113">
        <v>65179645</v>
      </c>
      <c r="C113">
        <v>65179120</v>
      </c>
      <c r="D113">
        <v>63889959</v>
      </c>
      <c r="E113">
        <v>112</v>
      </c>
      <c r="F113">
        <v>1</v>
      </c>
      <c r="G113">
        <v>1</v>
      </c>
      <c r="H113">
        <v>3</v>
      </c>
      <c r="I113" t="s">
        <v>406</v>
      </c>
      <c r="J113" t="s">
        <v>3</v>
      </c>
      <c r="K113" t="s">
        <v>407</v>
      </c>
      <c r="L113">
        <v>3277935</v>
      </c>
      <c r="N113">
        <v>1013</v>
      </c>
      <c r="O113" t="s">
        <v>408</v>
      </c>
      <c r="P113" t="s">
        <v>408</v>
      </c>
      <c r="Q113">
        <v>1</v>
      </c>
      <c r="X113">
        <v>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 t="s">
        <v>3</v>
      </c>
      <c r="AG113">
        <v>2</v>
      </c>
      <c r="AH113">
        <v>2</v>
      </c>
      <c r="AI113">
        <v>65179645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ROW(Source!A113)</f>
        <v>113</v>
      </c>
      <c r="B114">
        <v>65179659</v>
      </c>
      <c r="C114">
        <v>65179129</v>
      </c>
      <c r="D114">
        <v>63884326</v>
      </c>
      <c r="E114">
        <v>112</v>
      </c>
      <c r="F114">
        <v>1</v>
      </c>
      <c r="G114">
        <v>1</v>
      </c>
      <c r="H114">
        <v>1</v>
      </c>
      <c r="I114" t="s">
        <v>486</v>
      </c>
      <c r="J114" t="s">
        <v>3</v>
      </c>
      <c r="K114" t="s">
        <v>487</v>
      </c>
      <c r="L114">
        <v>1369</v>
      </c>
      <c r="N114">
        <v>1013</v>
      </c>
      <c r="O114" t="s">
        <v>488</v>
      </c>
      <c r="P114" t="s">
        <v>488</v>
      </c>
      <c r="Q114">
        <v>1</v>
      </c>
      <c r="X114">
        <v>0.99</v>
      </c>
      <c r="Y114">
        <v>0</v>
      </c>
      <c r="Z114">
        <v>0</v>
      </c>
      <c r="AA114">
        <v>0</v>
      </c>
      <c r="AB114">
        <v>399.03</v>
      </c>
      <c r="AC114">
        <v>0</v>
      </c>
      <c r="AD114">
        <v>1</v>
      </c>
      <c r="AE114">
        <v>1</v>
      </c>
      <c r="AF114" t="s">
        <v>3</v>
      </c>
      <c r="AG114">
        <v>0.99</v>
      </c>
      <c r="AH114">
        <v>2</v>
      </c>
      <c r="AI114">
        <v>65179659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ROW(Source!A113)</f>
        <v>113</v>
      </c>
      <c r="B115">
        <v>65179660</v>
      </c>
      <c r="C115">
        <v>65179129</v>
      </c>
      <c r="D115">
        <v>63884328</v>
      </c>
      <c r="E115">
        <v>112</v>
      </c>
      <c r="F115">
        <v>1</v>
      </c>
      <c r="G115">
        <v>1</v>
      </c>
      <c r="H115">
        <v>1</v>
      </c>
      <c r="I115" t="s">
        <v>489</v>
      </c>
      <c r="J115" t="s">
        <v>3</v>
      </c>
      <c r="K115" t="s">
        <v>490</v>
      </c>
      <c r="L115">
        <v>1369</v>
      </c>
      <c r="N115">
        <v>1013</v>
      </c>
      <c r="O115" t="s">
        <v>488</v>
      </c>
      <c r="P115" t="s">
        <v>488</v>
      </c>
      <c r="Q115">
        <v>1</v>
      </c>
      <c r="X115">
        <v>47.29</v>
      </c>
      <c r="Y115">
        <v>0</v>
      </c>
      <c r="Z115">
        <v>0</v>
      </c>
      <c r="AA115">
        <v>0</v>
      </c>
      <c r="AB115">
        <v>435.64</v>
      </c>
      <c r="AC115">
        <v>0</v>
      </c>
      <c r="AD115">
        <v>1</v>
      </c>
      <c r="AE115">
        <v>1</v>
      </c>
      <c r="AF115" t="s">
        <v>3</v>
      </c>
      <c r="AG115">
        <v>47.29</v>
      </c>
      <c r="AH115">
        <v>2</v>
      </c>
      <c r="AI115">
        <v>65179660</v>
      </c>
      <c r="AJ115">
        <v>115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ROW(Source!A113)</f>
        <v>113</v>
      </c>
      <c r="B116">
        <v>65179661</v>
      </c>
      <c r="C116">
        <v>65179129</v>
      </c>
      <c r="D116">
        <v>63884334</v>
      </c>
      <c r="E116">
        <v>112</v>
      </c>
      <c r="F116">
        <v>1</v>
      </c>
      <c r="G116">
        <v>1</v>
      </c>
      <c r="H116">
        <v>1</v>
      </c>
      <c r="I116" t="s">
        <v>491</v>
      </c>
      <c r="J116" t="s">
        <v>3</v>
      </c>
      <c r="K116" t="s">
        <v>492</v>
      </c>
      <c r="L116">
        <v>1369</v>
      </c>
      <c r="N116">
        <v>1013</v>
      </c>
      <c r="O116" t="s">
        <v>488</v>
      </c>
      <c r="P116" t="s">
        <v>488</v>
      </c>
      <c r="Q116">
        <v>1</v>
      </c>
      <c r="X116">
        <v>23.42</v>
      </c>
      <c r="Y116">
        <v>0</v>
      </c>
      <c r="Z116">
        <v>0</v>
      </c>
      <c r="AA116">
        <v>0</v>
      </c>
      <c r="AB116">
        <v>490.55</v>
      </c>
      <c r="AC116">
        <v>0</v>
      </c>
      <c r="AD116">
        <v>1</v>
      </c>
      <c r="AE116">
        <v>1</v>
      </c>
      <c r="AF116" t="s">
        <v>3</v>
      </c>
      <c r="AG116">
        <v>23.42</v>
      </c>
      <c r="AH116">
        <v>2</v>
      </c>
      <c r="AI116">
        <v>65179661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ROW(Source!A113)</f>
        <v>113</v>
      </c>
      <c r="B117">
        <v>65179662</v>
      </c>
      <c r="C117">
        <v>65179129</v>
      </c>
      <c r="D117">
        <v>63884336</v>
      </c>
      <c r="E117">
        <v>112</v>
      </c>
      <c r="F117">
        <v>1</v>
      </c>
      <c r="G117">
        <v>1</v>
      </c>
      <c r="H117">
        <v>1</v>
      </c>
      <c r="I117" t="s">
        <v>493</v>
      </c>
      <c r="J117" t="s">
        <v>3</v>
      </c>
      <c r="K117" t="s">
        <v>494</v>
      </c>
      <c r="L117">
        <v>1369</v>
      </c>
      <c r="N117">
        <v>1013</v>
      </c>
      <c r="O117" t="s">
        <v>488</v>
      </c>
      <c r="P117" t="s">
        <v>488</v>
      </c>
      <c r="Q117">
        <v>1</v>
      </c>
      <c r="X117">
        <v>23.42</v>
      </c>
      <c r="Y117">
        <v>0</v>
      </c>
      <c r="Z117">
        <v>0</v>
      </c>
      <c r="AA117">
        <v>0</v>
      </c>
      <c r="AB117">
        <v>563.76</v>
      </c>
      <c r="AC117">
        <v>0</v>
      </c>
      <c r="AD117">
        <v>1</v>
      </c>
      <c r="AE117">
        <v>1</v>
      </c>
      <c r="AF117" t="s">
        <v>3</v>
      </c>
      <c r="AG117">
        <v>23.42</v>
      </c>
      <c r="AH117">
        <v>2</v>
      </c>
      <c r="AI117">
        <v>65179662</v>
      </c>
      <c r="AJ117">
        <v>117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ROW(Source!A113)</f>
        <v>113</v>
      </c>
      <c r="B118">
        <v>65179663</v>
      </c>
      <c r="C118">
        <v>65179129</v>
      </c>
      <c r="D118">
        <v>63884368</v>
      </c>
      <c r="E118">
        <v>112</v>
      </c>
      <c r="F118">
        <v>1</v>
      </c>
      <c r="G118">
        <v>1</v>
      </c>
      <c r="H118">
        <v>1</v>
      </c>
      <c r="I118" t="s">
        <v>373</v>
      </c>
      <c r="J118" t="s">
        <v>3</v>
      </c>
      <c r="K118" t="s">
        <v>374</v>
      </c>
      <c r="L118">
        <v>1191</v>
      </c>
      <c r="N118">
        <v>1013</v>
      </c>
      <c r="O118" t="s">
        <v>372</v>
      </c>
      <c r="P118" t="s">
        <v>372</v>
      </c>
      <c r="Q118">
        <v>1</v>
      </c>
      <c r="X118">
        <v>24.89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2</v>
      </c>
      <c r="AF118" t="s">
        <v>3</v>
      </c>
      <c r="AG118">
        <v>24.89</v>
      </c>
      <c r="AH118">
        <v>2</v>
      </c>
      <c r="AI118">
        <v>65179663</v>
      </c>
      <c r="AJ118">
        <v>118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ROW(Source!A113)</f>
        <v>113</v>
      </c>
      <c r="B119">
        <v>65179664</v>
      </c>
      <c r="C119">
        <v>65179129</v>
      </c>
      <c r="D119">
        <v>64001515</v>
      </c>
      <c r="E119">
        <v>1</v>
      </c>
      <c r="F119">
        <v>1</v>
      </c>
      <c r="G119">
        <v>1</v>
      </c>
      <c r="H119">
        <v>2</v>
      </c>
      <c r="I119" t="s">
        <v>386</v>
      </c>
      <c r="J119" t="s">
        <v>387</v>
      </c>
      <c r="K119" t="s">
        <v>388</v>
      </c>
      <c r="L119">
        <v>1368</v>
      </c>
      <c r="N119">
        <v>1011</v>
      </c>
      <c r="O119" t="s">
        <v>378</v>
      </c>
      <c r="P119" t="s">
        <v>378</v>
      </c>
      <c r="Q119">
        <v>1</v>
      </c>
      <c r="X119">
        <v>0.75</v>
      </c>
      <c r="Y119">
        <v>0</v>
      </c>
      <c r="Z119">
        <v>1551.19</v>
      </c>
      <c r="AA119">
        <v>658.94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0.75</v>
      </c>
      <c r="AH119">
        <v>2</v>
      </c>
      <c r="AI119">
        <v>65179664</v>
      </c>
      <c r="AJ119">
        <v>119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ROW(Source!A113)</f>
        <v>113</v>
      </c>
      <c r="B120">
        <v>65179665</v>
      </c>
      <c r="C120">
        <v>65179129</v>
      </c>
      <c r="D120">
        <v>64001649</v>
      </c>
      <c r="E120">
        <v>1</v>
      </c>
      <c r="F120">
        <v>1</v>
      </c>
      <c r="G120">
        <v>1</v>
      </c>
      <c r="H120">
        <v>2</v>
      </c>
      <c r="I120" t="s">
        <v>495</v>
      </c>
      <c r="J120" t="s">
        <v>496</v>
      </c>
      <c r="K120" t="s">
        <v>497</v>
      </c>
      <c r="L120">
        <v>1368</v>
      </c>
      <c r="N120">
        <v>1011</v>
      </c>
      <c r="O120" t="s">
        <v>378</v>
      </c>
      <c r="P120" t="s">
        <v>378</v>
      </c>
      <c r="Q120">
        <v>1</v>
      </c>
      <c r="X120">
        <v>0.81</v>
      </c>
      <c r="Y120">
        <v>0</v>
      </c>
      <c r="Z120">
        <v>15.12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0.81</v>
      </c>
      <c r="AH120">
        <v>2</v>
      </c>
      <c r="AI120">
        <v>65179665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ROW(Source!A113)</f>
        <v>113</v>
      </c>
      <c r="B121">
        <v>65179666</v>
      </c>
      <c r="C121">
        <v>65179129</v>
      </c>
      <c r="D121">
        <v>64001688</v>
      </c>
      <c r="E121">
        <v>1</v>
      </c>
      <c r="F121">
        <v>1</v>
      </c>
      <c r="G121">
        <v>1</v>
      </c>
      <c r="H121">
        <v>2</v>
      </c>
      <c r="I121" t="s">
        <v>398</v>
      </c>
      <c r="J121" t="s">
        <v>399</v>
      </c>
      <c r="K121" t="s">
        <v>400</v>
      </c>
      <c r="L121">
        <v>1368</v>
      </c>
      <c r="N121">
        <v>1011</v>
      </c>
      <c r="O121" t="s">
        <v>378</v>
      </c>
      <c r="P121" t="s">
        <v>378</v>
      </c>
      <c r="Q121">
        <v>1</v>
      </c>
      <c r="X121">
        <v>22.74</v>
      </c>
      <c r="Y121">
        <v>0</v>
      </c>
      <c r="Z121">
        <v>346.73</v>
      </c>
      <c r="AA121">
        <v>490.55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22.74</v>
      </c>
      <c r="AH121">
        <v>2</v>
      </c>
      <c r="AI121">
        <v>65179666</v>
      </c>
      <c r="AJ121">
        <v>121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ROW(Source!A113)</f>
        <v>113</v>
      </c>
      <c r="B122">
        <v>65179667</v>
      </c>
      <c r="C122">
        <v>65179129</v>
      </c>
      <c r="D122">
        <v>64002400</v>
      </c>
      <c r="E122">
        <v>1</v>
      </c>
      <c r="F122">
        <v>1</v>
      </c>
      <c r="G122">
        <v>1</v>
      </c>
      <c r="H122">
        <v>2</v>
      </c>
      <c r="I122" t="s">
        <v>380</v>
      </c>
      <c r="J122" t="s">
        <v>381</v>
      </c>
      <c r="K122" t="s">
        <v>382</v>
      </c>
      <c r="L122">
        <v>1368</v>
      </c>
      <c r="N122">
        <v>1011</v>
      </c>
      <c r="O122" t="s">
        <v>378</v>
      </c>
      <c r="P122" t="s">
        <v>378</v>
      </c>
      <c r="Q122">
        <v>1</v>
      </c>
      <c r="X122">
        <v>0.59</v>
      </c>
      <c r="Y122">
        <v>0</v>
      </c>
      <c r="Z122">
        <v>477.92</v>
      </c>
      <c r="AA122">
        <v>490.55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0.59</v>
      </c>
      <c r="AH122">
        <v>2</v>
      </c>
      <c r="AI122">
        <v>65179667</v>
      </c>
      <c r="AJ122">
        <v>122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ROW(Source!A113)</f>
        <v>113</v>
      </c>
      <c r="B123">
        <v>65179668</v>
      </c>
      <c r="C123">
        <v>65179129</v>
      </c>
      <c r="D123">
        <v>64002594</v>
      </c>
      <c r="E123">
        <v>1</v>
      </c>
      <c r="F123">
        <v>1</v>
      </c>
      <c r="G123">
        <v>1</v>
      </c>
      <c r="H123">
        <v>2</v>
      </c>
      <c r="I123" t="s">
        <v>498</v>
      </c>
      <c r="J123" t="s">
        <v>499</v>
      </c>
      <c r="K123" t="s">
        <v>500</v>
      </c>
      <c r="L123">
        <v>1368</v>
      </c>
      <c r="N123">
        <v>1011</v>
      </c>
      <c r="O123" t="s">
        <v>378</v>
      </c>
      <c r="P123" t="s">
        <v>378</v>
      </c>
      <c r="Q123">
        <v>1</v>
      </c>
      <c r="X123">
        <v>0.81</v>
      </c>
      <c r="Y123">
        <v>0</v>
      </c>
      <c r="Z123">
        <v>176.5</v>
      </c>
      <c r="AA123">
        <v>490.55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0.81</v>
      </c>
      <c r="AH123">
        <v>2</v>
      </c>
      <c r="AI123">
        <v>65179668</v>
      </c>
      <c r="AJ123">
        <v>123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ROW(Source!A113)</f>
        <v>113</v>
      </c>
      <c r="B124">
        <v>65179669</v>
      </c>
      <c r="C124">
        <v>65179129</v>
      </c>
      <c r="D124">
        <v>63888857</v>
      </c>
      <c r="E124">
        <v>112</v>
      </c>
      <c r="F124">
        <v>1</v>
      </c>
      <c r="G124">
        <v>1</v>
      </c>
      <c r="H124">
        <v>3</v>
      </c>
      <c r="I124" t="s">
        <v>501</v>
      </c>
      <c r="J124" t="s">
        <v>3</v>
      </c>
      <c r="K124" t="s">
        <v>502</v>
      </c>
      <c r="L124">
        <v>1371</v>
      </c>
      <c r="N124">
        <v>1013</v>
      </c>
      <c r="O124" t="s">
        <v>77</v>
      </c>
      <c r="P124" t="s">
        <v>77</v>
      </c>
      <c r="Q124">
        <v>1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1</v>
      </c>
      <c r="AD124">
        <v>0</v>
      </c>
      <c r="AE124">
        <v>0</v>
      </c>
      <c r="AF124" t="s">
        <v>3</v>
      </c>
      <c r="AG124">
        <v>0</v>
      </c>
      <c r="AH124">
        <v>2</v>
      </c>
      <c r="AI124">
        <v>65179669</v>
      </c>
      <c r="AJ124">
        <v>124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ROW(Source!A113)</f>
        <v>113</v>
      </c>
      <c r="B125">
        <v>65179670</v>
      </c>
      <c r="C125">
        <v>65179129</v>
      </c>
      <c r="D125">
        <v>63888865</v>
      </c>
      <c r="E125">
        <v>112</v>
      </c>
      <c r="F125">
        <v>1</v>
      </c>
      <c r="G125">
        <v>1</v>
      </c>
      <c r="H125">
        <v>3</v>
      </c>
      <c r="I125" t="s">
        <v>503</v>
      </c>
      <c r="J125" t="s">
        <v>3</v>
      </c>
      <c r="K125" t="s">
        <v>504</v>
      </c>
      <c r="L125">
        <v>1371</v>
      </c>
      <c r="N125">
        <v>1013</v>
      </c>
      <c r="O125" t="s">
        <v>77</v>
      </c>
      <c r="P125" t="s">
        <v>77</v>
      </c>
      <c r="Q125">
        <v>1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1</v>
      </c>
      <c r="AD125">
        <v>0</v>
      </c>
      <c r="AE125">
        <v>0</v>
      </c>
      <c r="AF125" t="s">
        <v>3</v>
      </c>
      <c r="AG125">
        <v>0</v>
      </c>
      <c r="AH125">
        <v>2</v>
      </c>
      <c r="AI125">
        <v>65179670</v>
      </c>
      <c r="AJ125">
        <v>125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ROW(Source!A113)</f>
        <v>113</v>
      </c>
      <c r="B126">
        <v>65179671</v>
      </c>
      <c r="C126">
        <v>65179129</v>
      </c>
      <c r="D126">
        <v>63889023</v>
      </c>
      <c r="E126">
        <v>112</v>
      </c>
      <c r="F126">
        <v>1</v>
      </c>
      <c r="G126">
        <v>1</v>
      </c>
      <c r="H126">
        <v>3</v>
      </c>
      <c r="I126" t="s">
        <v>505</v>
      </c>
      <c r="J126" t="s">
        <v>3</v>
      </c>
      <c r="K126" t="s">
        <v>506</v>
      </c>
      <c r="L126">
        <v>1477</v>
      </c>
      <c r="N126">
        <v>1013</v>
      </c>
      <c r="O126" t="s">
        <v>156</v>
      </c>
      <c r="P126" t="s">
        <v>158</v>
      </c>
      <c r="Q126">
        <v>1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1</v>
      </c>
      <c r="AD126">
        <v>0</v>
      </c>
      <c r="AE126">
        <v>0</v>
      </c>
      <c r="AF126" t="s">
        <v>3</v>
      </c>
      <c r="AG126">
        <v>0</v>
      </c>
      <c r="AH126">
        <v>2</v>
      </c>
      <c r="AI126">
        <v>65179671</v>
      </c>
      <c r="AJ126">
        <v>126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ROW(Source!A114)</f>
        <v>114</v>
      </c>
      <c r="B127">
        <v>65179620</v>
      </c>
      <c r="C127">
        <v>65179200</v>
      </c>
      <c r="D127">
        <v>63884158</v>
      </c>
      <c r="E127">
        <v>112</v>
      </c>
      <c r="F127">
        <v>1</v>
      </c>
      <c r="G127">
        <v>1</v>
      </c>
      <c r="H127">
        <v>1</v>
      </c>
      <c r="I127" t="s">
        <v>409</v>
      </c>
      <c r="J127" t="s">
        <v>3</v>
      </c>
      <c r="K127" t="s">
        <v>507</v>
      </c>
      <c r="L127">
        <v>1191</v>
      </c>
      <c r="N127">
        <v>1013</v>
      </c>
      <c r="O127" t="s">
        <v>372</v>
      </c>
      <c r="P127" t="s">
        <v>372</v>
      </c>
      <c r="Q127">
        <v>1</v>
      </c>
      <c r="X127">
        <v>41.2</v>
      </c>
      <c r="Y127">
        <v>0</v>
      </c>
      <c r="Z127">
        <v>0</v>
      </c>
      <c r="AA127">
        <v>0</v>
      </c>
      <c r="AB127">
        <v>490.55</v>
      </c>
      <c r="AC127">
        <v>0</v>
      </c>
      <c r="AD127">
        <v>1</v>
      </c>
      <c r="AE127">
        <v>1</v>
      </c>
      <c r="AF127" t="s">
        <v>3</v>
      </c>
      <c r="AG127">
        <v>41.2</v>
      </c>
      <c r="AH127">
        <v>2</v>
      </c>
      <c r="AI127">
        <v>65179620</v>
      </c>
      <c r="AJ127">
        <v>127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ROW(Source!A114)</f>
        <v>114</v>
      </c>
      <c r="B128">
        <v>65179621</v>
      </c>
      <c r="C128">
        <v>65179200</v>
      </c>
      <c r="D128">
        <v>63884368</v>
      </c>
      <c r="E128">
        <v>112</v>
      </c>
      <c r="F128">
        <v>1</v>
      </c>
      <c r="G128">
        <v>1</v>
      </c>
      <c r="H128">
        <v>1</v>
      </c>
      <c r="I128" t="s">
        <v>373</v>
      </c>
      <c r="J128" t="s">
        <v>3</v>
      </c>
      <c r="K128" t="s">
        <v>374</v>
      </c>
      <c r="L128">
        <v>1191</v>
      </c>
      <c r="N128">
        <v>1013</v>
      </c>
      <c r="O128" t="s">
        <v>372</v>
      </c>
      <c r="P128" t="s">
        <v>372</v>
      </c>
      <c r="Q128">
        <v>1</v>
      </c>
      <c r="X128">
        <v>0.2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2</v>
      </c>
      <c r="AF128" t="s">
        <v>3</v>
      </c>
      <c r="AG128">
        <v>0.2</v>
      </c>
      <c r="AH128">
        <v>2</v>
      </c>
      <c r="AI128">
        <v>65179621</v>
      </c>
      <c r="AJ128">
        <v>128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ROW(Source!A114)</f>
        <v>114</v>
      </c>
      <c r="B129">
        <v>65179622</v>
      </c>
      <c r="C129">
        <v>65179200</v>
      </c>
      <c r="D129">
        <v>64001515</v>
      </c>
      <c r="E129">
        <v>1</v>
      </c>
      <c r="F129">
        <v>1</v>
      </c>
      <c r="G129">
        <v>1</v>
      </c>
      <c r="H129">
        <v>2</v>
      </c>
      <c r="I129" t="s">
        <v>386</v>
      </c>
      <c r="J129" t="s">
        <v>387</v>
      </c>
      <c r="K129" t="s">
        <v>388</v>
      </c>
      <c r="L129">
        <v>1368</v>
      </c>
      <c r="N129">
        <v>1011</v>
      </c>
      <c r="O129" t="s">
        <v>378</v>
      </c>
      <c r="P129" t="s">
        <v>378</v>
      </c>
      <c r="Q129">
        <v>1</v>
      </c>
      <c r="X129">
        <v>0.1</v>
      </c>
      <c r="Y129">
        <v>0</v>
      </c>
      <c r="Z129">
        <v>1551.19</v>
      </c>
      <c r="AA129">
        <v>658.94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0.1</v>
      </c>
      <c r="AH129">
        <v>2</v>
      </c>
      <c r="AI129">
        <v>65179622</v>
      </c>
      <c r="AJ129">
        <v>129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ROW(Source!A114)</f>
        <v>114</v>
      </c>
      <c r="B130">
        <v>65179623</v>
      </c>
      <c r="C130">
        <v>65179200</v>
      </c>
      <c r="D130">
        <v>64002400</v>
      </c>
      <c r="E130">
        <v>1</v>
      </c>
      <c r="F130">
        <v>1</v>
      </c>
      <c r="G130">
        <v>1</v>
      </c>
      <c r="H130">
        <v>2</v>
      </c>
      <c r="I130" t="s">
        <v>380</v>
      </c>
      <c r="J130" t="s">
        <v>381</v>
      </c>
      <c r="K130" t="s">
        <v>382</v>
      </c>
      <c r="L130">
        <v>1368</v>
      </c>
      <c r="N130">
        <v>1011</v>
      </c>
      <c r="O130" t="s">
        <v>378</v>
      </c>
      <c r="P130" t="s">
        <v>378</v>
      </c>
      <c r="Q130">
        <v>1</v>
      </c>
      <c r="X130">
        <v>0.1</v>
      </c>
      <c r="Y130">
        <v>0</v>
      </c>
      <c r="Z130">
        <v>477.92</v>
      </c>
      <c r="AA130">
        <v>490.55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0.1</v>
      </c>
      <c r="AH130">
        <v>2</v>
      </c>
      <c r="AI130">
        <v>65179623</v>
      </c>
      <c r="AJ130">
        <v>130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ROW(Source!A114)</f>
        <v>114</v>
      </c>
      <c r="B131">
        <v>65179624</v>
      </c>
      <c r="C131">
        <v>65179200</v>
      </c>
      <c r="D131">
        <v>64002592</v>
      </c>
      <c r="E131">
        <v>1</v>
      </c>
      <c r="F131">
        <v>1</v>
      </c>
      <c r="G131">
        <v>1</v>
      </c>
      <c r="H131">
        <v>2</v>
      </c>
      <c r="I131" t="s">
        <v>435</v>
      </c>
      <c r="J131" t="s">
        <v>436</v>
      </c>
      <c r="K131" t="s">
        <v>437</v>
      </c>
      <c r="L131">
        <v>1368</v>
      </c>
      <c r="N131">
        <v>1011</v>
      </c>
      <c r="O131" t="s">
        <v>378</v>
      </c>
      <c r="P131" t="s">
        <v>378</v>
      </c>
      <c r="Q131">
        <v>1</v>
      </c>
      <c r="X131">
        <v>0.16</v>
      </c>
      <c r="Y131">
        <v>0</v>
      </c>
      <c r="Z131">
        <v>26.32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0.16</v>
      </c>
      <c r="AH131">
        <v>2</v>
      </c>
      <c r="AI131">
        <v>65179624</v>
      </c>
      <c r="AJ131">
        <v>131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ROW(Source!A114)</f>
        <v>114</v>
      </c>
      <c r="B132">
        <v>65179625</v>
      </c>
      <c r="C132">
        <v>65179200</v>
      </c>
      <c r="D132">
        <v>63963082</v>
      </c>
      <c r="E132">
        <v>1</v>
      </c>
      <c r="F132">
        <v>1</v>
      </c>
      <c r="G132">
        <v>1</v>
      </c>
      <c r="H132">
        <v>3</v>
      </c>
      <c r="I132" t="s">
        <v>508</v>
      </c>
      <c r="J132" t="s">
        <v>509</v>
      </c>
      <c r="K132" t="s">
        <v>510</v>
      </c>
      <c r="L132">
        <v>1348</v>
      </c>
      <c r="N132">
        <v>1009</v>
      </c>
      <c r="O132" t="s">
        <v>244</v>
      </c>
      <c r="P132" t="s">
        <v>244</v>
      </c>
      <c r="Q132">
        <v>1000</v>
      </c>
      <c r="X132">
        <v>3.0000000000000001E-3</v>
      </c>
      <c r="Y132">
        <v>70310.45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3.0000000000000001E-3</v>
      </c>
      <c r="AH132">
        <v>2</v>
      </c>
      <c r="AI132">
        <v>65179625</v>
      </c>
      <c r="AJ132">
        <v>132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ROW(Source!A114)</f>
        <v>114</v>
      </c>
      <c r="B133">
        <v>65179626</v>
      </c>
      <c r="C133">
        <v>65179200</v>
      </c>
      <c r="D133">
        <v>63972631</v>
      </c>
      <c r="E133">
        <v>1</v>
      </c>
      <c r="F133">
        <v>1</v>
      </c>
      <c r="G133">
        <v>1</v>
      </c>
      <c r="H133">
        <v>3</v>
      </c>
      <c r="I133" t="s">
        <v>423</v>
      </c>
      <c r="J133" t="s">
        <v>424</v>
      </c>
      <c r="K133" t="s">
        <v>425</v>
      </c>
      <c r="L133">
        <v>1346</v>
      </c>
      <c r="N133">
        <v>1009</v>
      </c>
      <c r="O133" t="s">
        <v>253</v>
      </c>
      <c r="P133" t="s">
        <v>253</v>
      </c>
      <c r="Q133">
        <v>1</v>
      </c>
      <c r="X133">
        <v>0.8</v>
      </c>
      <c r="Y133">
        <v>79.88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0.8</v>
      </c>
      <c r="AH133">
        <v>2</v>
      </c>
      <c r="AI133">
        <v>65179626</v>
      </c>
      <c r="AJ133">
        <v>133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ROW(Source!A114)</f>
        <v>114</v>
      </c>
      <c r="B134">
        <v>65179627</v>
      </c>
      <c r="C134">
        <v>65179200</v>
      </c>
      <c r="D134">
        <v>63983065</v>
      </c>
      <c r="E134">
        <v>1</v>
      </c>
      <c r="F134">
        <v>1</v>
      </c>
      <c r="G134">
        <v>1</v>
      </c>
      <c r="H134">
        <v>3</v>
      </c>
      <c r="I134" t="s">
        <v>511</v>
      </c>
      <c r="J134" t="s">
        <v>512</v>
      </c>
      <c r="K134" t="s">
        <v>513</v>
      </c>
      <c r="L134">
        <v>1425</v>
      </c>
      <c r="N134">
        <v>1013</v>
      </c>
      <c r="O134" t="s">
        <v>162</v>
      </c>
      <c r="P134" t="s">
        <v>162</v>
      </c>
      <c r="Q134">
        <v>1</v>
      </c>
      <c r="X134">
        <v>1.02</v>
      </c>
      <c r="Y134">
        <v>896.51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1.02</v>
      </c>
      <c r="AH134">
        <v>2</v>
      </c>
      <c r="AI134">
        <v>65179627</v>
      </c>
      <c r="AJ134">
        <v>134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ROW(Source!A114)</f>
        <v>114</v>
      </c>
      <c r="B135">
        <v>65179628</v>
      </c>
      <c r="C135">
        <v>65179200</v>
      </c>
      <c r="D135">
        <v>63889959</v>
      </c>
      <c r="E135">
        <v>112</v>
      </c>
      <c r="F135">
        <v>1</v>
      </c>
      <c r="G135">
        <v>1</v>
      </c>
      <c r="H135">
        <v>3</v>
      </c>
      <c r="I135" t="s">
        <v>406</v>
      </c>
      <c r="J135" t="s">
        <v>3</v>
      </c>
      <c r="K135" t="s">
        <v>407</v>
      </c>
      <c r="L135">
        <v>3277935</v>
      </c>
      <c r="N135">
        <v>1013</v>
      </c>
      <c r="O135" t="s">
        <v>408</v>
      </c>
      <c r="P135" t="s">
        <v>408</v>
      </c>
      <c r="Q135">
        <v>1</v>
      </c>
      <c r="X135">
        <v>2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 t="s">
        <v>3</v>
      </c>
      <c r="AG135">
        <v>2</v>
      </c>
      <c r="AH135">
        <v>2</v>
      </c>
      <c r="AI135">
        <v>65179628</v>
      </c>
      <c r="AJ135">
        <v>135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ROW(Source!A115)</f>
        <v>115</v>
      </c>
      <c r="B136">
        <v>65179672</v>
      </c>
      <c r="C136">
        <v>65179219</v>
      </c>
      <c r="D136">
        <v>63884137</v>
      </c>
      <c r="E136">
        <v>112</v>
      </c>
      <c r="F136">
        <v>1</v>
      </c>
      <c r="G136">
        <v>1</v>
      </c>
      <c r="H136">
        <v>1</v>
      </c>
      <c r="I136" t="s">
        <v>370</v>
      </c>
      <c r="J136" t="s">
        <v>3</v>
      </c>
      <c r="K136" t="s">
        <v>514</v>
      </c>
      <c r="L136">
        <v>1191</v>
      </c>
      <c r="N136">
        <v>1013</v>
      </c>
      <c r="O136" t="s">
        <v>372</v>
      </c>
      <c r="P136" t="s">
        <v>372</v>
      </c>
      <c r="Q136">
        <v>1</v>
      </c>
      <c r="X136">
        <v>2.63</v>
      </c>
      <c r="Y136">
        <v>0</v>
      </c>
      <c r="Z136">
        <v>0</v>
      </c>
      <c r="AA136">
        <v>0</v>
      </c>
      <c r="AB136">
        <v>463.09</v>
      </c>
      <c r="AC136">
        <v>0</v>
      </c>
      <c r="AD136">
        <v>1</v>
      </c>
      <c r="AE136">
        <v>1</v>
      </c>
      <c r="AF136" t="s">
        <v>3</v>
      </c>
      <c r="AG136">
        <v>2.63</v>
      </c>
      <c r="AH136">
        <v>2</v>
      </c>
      <c r="AI136">
        <v>65179672</v>
      </c>
      <c r="AJ136">
        <v>136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ROW(Source!A115)</f>
        <v>115</v>
      </c>
      <c r="B137">
        <v>65179673</v>
      </c>
      <c r="C137">
        <v>65179219</v>
      </c>
      <c r="D137">
        <v>63884368</v>
      </c>
      <c r="E137">
        <v>112</v>
      </c>
      <c r="F137">
        <v>1</v>
      </c>
      <c r="G137">
        <v>1</v>
      </c>
      <c r="H137">
        <v>1</v>
      </c>
      <c r="I137" t="s">
        <v>373</v>
      </c>
      <c r="J137" t="s">
        <v>3</v>
      </c>
      <c r="K137" t="s">
        <v>374</v>
      </c>
      <c r="L137">
        <v>1191</v>
      </c>
      <c r="N137">
        <v>1013</v>
      </c>
      <c r="O137" t="s">
        <v>372</v>
      </c>
      <c r="P137" t="s">
        <v>372</v>
      </c>
      <c r="Q137">
        <v>1</v>
      </c>
      <c r="X137">
        <v>0.27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2</v>
      </c>
      <c r="AF137" t="s">
        <v>3</v>
      </c>
      <c r="AG137">
        <v>0.27</v>
      </c>
      <c r="AH137">
        <v>2</v>
      </c>
      <c r="AI137">
        <v>65179673</v>
      </c>
      <c r="AJ137">
        <v>137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ROW(Source!A115)</f>
        <v>115</v>
      </c>
      <c r="B138">
        <v>65179674</v>
      </c>
      <c r="C138">
        <v>65179219</v>
      </c>
      <c r="D138">
        <v>64001688</v>
      </c>
      <c r="E138">
        <v>1</v>
      </c>
      <c r="F138">
        <v>1</v>
      </c>
      <c r="G138">
        <v>1</v>
      </c>
      <c r="H138">
        <v>2</v>
      </c>
      <c r="I138" t="s">
        <v>398</v>
      </c>
      <c r="J138" t="s">
        <v>399</v>
      </c>
      <c r="K138" t="s">
        <v>400</v>
      </c>
      <c r="L138">
        <v>1368</v>
      </c>
      <c r="N138">
        <v>1011</v>
      </c>
      <c r="O138" t="s">
        <v>378</v>
      </c>
      <c r="P138" t="s">
        <v>378</v>
      </c>
      <c r="Q138">
        <v>1</v>
      </c>
      <c r="X138">
        <v>0.12</v>
      </c>
      <c r="Y138">
        <v>0</v>
      </c>
      <c r="Z138">
        <v>346.73</v>
      </c>
      <c r="AA138">
        <v>490.55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0.12</v>
      </c>
      <c r="AH138">
        <v>2</v>
      </c>
      <c r="AI138">
        <v>65179674</v>
      </c>
      <c r="AJ138">
        <v>138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ROW(Source!A115)</f>
        <v>115</v>
      </c>
      <c r="B139">
        <v>65179675</v>
      </c>
      <c r="C139">
        <v>65179219</v>
      </c>
      <c r="D139">
        <v>64002400</v>
      </c>
      <c r="E139">
        <v>1</v>
      </c>
      <c r="F139">
        <v>1</v>
      </c>
      <c r="G139">
        <v>1</v>
      </c>
      <c r="H139">
        <v>2</v>
      </c>
      <c r="I139" t="s">
        <v>380</v>
      </c>
      <c r="J139" t="s">
        <v>381</v>
      </c>
      <c r="K139" t="s">
        <v>382</v>
      </c>
      <c r="L139">
        <v>1368</v>
      </c>
      <c r="N139">
        <v>1011</v>
      </c>
      <c r="O139" t="s">
        <v>378</v>
      </c>
      <c r="P139" t="s">
        <v>378</v>
      </c>
      <c r="Q139">
        <v>1</v>
      </c>
      <c r="X139">
        <v>0.15</v>
      </c>
      <c r="Y139">
        <v>0</v>
      </c>
      <c r="Z139">
        <v>477.92</v>
      </c>
      <c r="AA139">
        <v>490.55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0.15</v>
      </c>
      <c r="AH139">
        <v>2</v>
      </c>
      <c r="AI139">
        <v>65179675</v>
      </c>
      <c r="AJ139">
        <v>139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ROW(Source!A115)</f>
        <v>115</v>
      </c>
      <c r="B140">
        <v>65179676</v>
      </c>
      <c r="C140">
        <v>65179219</v>
      </c>
      <c r="D140">
        <v>63953092</v>
      </c>
      <c r="E140">
        <v>1</v>
      </c>
      <c r="F140">
        <v>1</v>
      </c>
      <c r="G140">
        <v>1</v>
      </c>
      <c r="H140">
        <v>3</v>
      </c>
      <c r="I140" t="s">
        <v>450</v>
      </c>
      <c r="J140" t="s">
        <v>451</v>
      </c>
      <c r="K140" t="s">
        <v>452</v>
      </c>
      <c r="L140">
        <v>1346</v>
      </c>
      <c r="N140">
        <v>1009</v>
      </c>
      <c r="O140" t="s">
        <v>253</v>
      </c>
      <c r="P140" t="s">
        <v>253</v>
      </c>
      <c r="Q140">
        <v>1</v>
      </c>
      <c r="X140">
        <v>0.5</v>
      </c>
      <c r="Y140">
        <v>238.29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0.5</v>
      </c>
      <c r="AH140">
        <v>2</v>
      </c>
      <c r="AI140">
        <v>65179676</v>
      </c>
      <c r="AJ140">
        <v>140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ROW(Source!A115)</f>
        <v>115</v>
      </c>
      <c r="B141">
        <v>65179677</v>
      </c>
      <c r="C141">
        <v>65179219</v>
      </c>
      <c r="D141">
        <v>63956166</v>
      </c>
      <c r="E141">
        <v>1</v>
      </c>
      <c r="F141">
        <v>1</v>
      </c>
      <c r="G141">
        <v>1</v>
      </c>
      <c r="H141">
        <v>3</v>
      </c>
      <c r="I141" t="s">
        <v>411</v>
      </c>
      <c r="J141" t="s">
        <v>412</v>
      </c>
      <c r="K141" t="s">
        <v>413</v>
      </c>
      <c r="L141">
        <v>1346</v>
      </c>
      <c r="N141">
        <v>1009</v>
      </c>
      <c r="O141" t="s">
        <v>253</v>
      </c>
      <c r="P141" t="s">
        <v>253</v>
      </c>
      <c r="Q141">
        <v>1</v>
      </c>
      <c r="X141">
        <v>0</v>
      </c>
      <c r="Y141">
        <v>174.93</v>
      </c>
      <c r="Z141">
        <v>0</v>
      </c>
      <c r="AA141">
        <v>0</v>
      </c>
      <c r="AB141">
        <v>0</v>
      </c>
      <c r="AC141">
        <v>1</v>
      </c>
      <c r="AD141">
        <v>0</v>
      </c>
      <c r="AE141">
        <v>0</v>
      </c>
      <c r="AF141" t="s">
        <v>3</v>
      </c>
      <c r="AG141">
        <v>0</v>
      </c>
      <c r="AH141">
        <v>2</v>
      </c>
      <c r="AI141">
        <v>65179677</v>
      </c>
      <c r="AJ141">
        <v>141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ROW(Source!A115)</f>
        <v>115</v>
      </c>
      <c r="B142">
        <v>65179678</v>
      </c>
      <c r="C142">
        <v>65179219</v>
      </c>
      <c r="D142">
        <v>63886352</v>
      </c>
      <c r="E142">
        <v>112</v>
      </c>
      <c r="F142">
        <v>1</v>
      </c>
      <c r="G142">
        <v>1</v>
      </c>
      <c r="H142">
        <v>3</v>
      </c>
      <c r="I142" t="s">
        <v>461</v>
      </c>
      <c r="J142" t="s">
        <v>3</v>
      </c>
      <c r="K142" t="s">
        <v>462</v>
      </c>
      <c r="L142">
        <v>1348</v>
      </c>
      <c r="N142">
        <v>1009</v>
      </c>
      <c r="O142" t="s">
        <v>244</v>
      </c>
      <c r="P142" t="s">
        <v>244</v>
      </c>
      <c r="Q142">
        <v>1000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1</v>
      </c>
      <c r="AD142">
        <v>0</v>
      </c>
      <c r="AE142">
        <v>0</v>
      </c>
      <c r="AF142" t="s">
        <v>3</v>
      </c>
      <c r="AG142">
        <v>0</v>
      </c>
      <c r="AH142">
        <v>2</v>
      </c>
      <c r="AI142">
        <v>65179678</v>
      </c>
      <c r="AJ142">
        <v>142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ROW(Source!A115)</f>
        <v>115</v>
      </c>
      <c r="B143">
        <v>65179679</v>
      </c>
      <c r="C143">
        <v>65179219</v>
      </c>
      <c r="D143">
        <v>63886499</v>
      </c>
      <c r="E143">
        <v>112</v>
      </c>
      <c r="F143">
        <v>1</v>
      </c>
      <c r="G143">
        <v>1</v>
      </c>
      <c r="H143">
        <v>3</v>
      </c>
      <c r="I143" t="s">
        <v>463</v>
      </c>
      <c r="J143" t="s">
        <v>3</v>
      </c>
      <c r="K143" t="s">
        <v>464</v>
      </c>
      <c r="L143">
        <v>1346</v>
      </c>
      <c r="N143">
        <v>1009</v>
      </c>
      <c r="O143" t="s">
        <v>253</v>
      </c>
      <c r="P143" t="s">
        <v>253</v>
      </c>
      <c r="Q143">
        <v>1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1</v>
      </c>
      <c r="AD143">
        <v>0</v>
      </c>
      <c r="AE143">
        <v>0</v>
      </c>
      <c r="AF143" t="s">
        <v>3</v>
      </c>
      <c r="AG143">
        <v>0</v>
      </c>
      <c r="AH143">
        <v>2</v>
      </c>
      <c r="AI143">
        <v>65179679</v>
      </c>
      <c r="AJ143">
        <v>143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ROW(Source!A115)</f>
        <v>115</v>
      </c>
      <c r="B144">
        <v>65179680</v>
      </c>
      <c r="C144">
        <v>65179219</v>
      </c>
      <c r="D144">
        <v>63889028</v>
      </c>
      <c r="E144">
        <v>112</v>
      </c>
      <c r="F144">
        <v>1</v>
      </c>
      <c r="G144">
        <v>1</v>
      </c>
      <c r="H144">
        <v>3</v>
      </c>
      <c r="I144" t="s">
        <v>515</v>
      </c>
      <c r="J144" t="s">
        <v>3</v>
      </c>
      <c r="K144" t="s">
        <v>516</v>
      </c>
      <c r="L144">
        <v>1348</v>
      </c>
      <c r="N144">
        <v>1009</v>
      </c>
      <c r="O144" t="s">
        <v>244</v>
      </c>
      <c r="P144" t="s">
        <v>244</v>
      </c>
      <c r="Q144">
        <v>1000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1</v>
      </c>
      <c r="AD144">
        <v>0</v>
      </c>
      <c r="AE144">
        <v>0</v>
      </c>
      <c r="AF144" t="s">
        <v>3</v>
      </c>
      <c r="AG144">
        <v>0</v>
      </c>
      <c r="AH144">
        <v>2</v>
      </c>
      <c r="AI144">
        <v>65179680</v>
      </c>
      <c r="AJ144">
        <v>144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ROW(Source!A115)</f>
        <v>115</v>
      </c>
      <c r="B145">
        <v>65179681</v>
      </c>
      <c r="C145">
        <v>65179219</v>
      </c>
      <c r="D145">
        <v>63889057</v>
      </c>
      <c r="E145">
        <v>112</v>
      </c>
      <c r="F145">
        <v>1</v>
      </c>
      <c r="G145">
        <v>1</v>
      </c>
      <c r="H145">
        <v>3</v>
      </c>
      <c r="I145" t="s">
        <v>476</v>
      </c>
      <c r="J145" t="s">
        <v>3</v>
      </c>
      <c r="K145" t="s">
        <v>517</v>
      </c>
      <c r="L145">
        <v>1371</v>
      </c>
      <c r="N145">
        <v>1013</v>
      </c>
      <c r="O145" t="s">
        <v>77</v>
      </c>
      <c r="P145" t="s">
        <v>77</v>
      </c>
      <c r="Q145">
        <v>1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1</v>
      </c>
      <c r="AD145">
        <v>0</v>
      </c>
      <c r="AE145">
        <v>0</v>
      </c>
      <c r="AF145" t="s">
        <v>3</v>
      </c>
      <c r="AG145">
        <v>0</v>
      </c>
      <c r="AH145">
        <v>2</v>
      </c>
      <c r="AI145">
        <v>65179681</v>
      </c>
      <c r="AJ145">
        <v>145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ROW(Source!A115)</f>
        <v>115</v>
      </c>
      <c r="B146">
        <v>65179682</v>
      </c>
      <c r="C146">
        <v>65179219</v>
      </c>
      <c r="D146">
        <v>63889081</v>
      </c>
      <c r="E146">
        <v>112</v>
      </c>
      <c r="F146">
        <v>1</v>
      </c>
      <c r="G146">
        <v>1</v>
      </c>
      <c r="H146">
        <v>3</v>
      </c>
      <c r="I146" t="s">
        <v>484</v>
      </c>
      <c r="J146" t="s">
        <v>3</v>
      </c>
      <c r="K146" t="s">
        <v>518</v>
      </c>
      <c r="L146">
        <v>1346</v>
      </c>
      <c r="N146">
        <v>1009</v>
      </c>
      <c r="O146" t="s">
        <v>253</v>
      </c>
      <c r="P146" t="s">
        <v>253</v>
      </c>
      <c r="Q146">
        <v>1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1</v>
      </c>
      <c r="AD146">
        <v>0</v>
      </c>
      <c r="AE146">
        <v>0</v>
      </c>
      <c r="AF146" t="s">
        <v>3</v>
      </c>
      <c r="AG146">
        <v>0</v>
      </c>
      <c r="AH146">
        <v>2</v>
      </c>
      <c r="AI146">
        <v>65179682</v>
      </c>
      <c r="AJ146">
        <v>146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ROW(Source!A116)</f>
        <v>116</v>
      </c>
      <c r="B147">
        <v>65179254</v>
      </c>
      <c r="C147">
        <v>65179242</v>
      </c>
      <c r="D147">
        <v>37077359</v>
      </c>
      <c r="E147">
        <v>108</v>
      </c>
      <c r="F147">
        <v>1</v>
      </c>
      <c r="G147">
        <v>1</v>
      </c>
      <c r="H147">
        <v>1</v>
      </c>
      <c r="I147" t="s">
        <v>414</v>
      </c>
      <c r="J147" t="s">
        <v>3</v>
      </c>
      <c r="K147" t="s">
        <v>415</v>
      </c>
      <c r="L147">
        <v>1191</v>
      </c>
      <c r="N147">
        <v>1013</v>
      </c>
      <c r="O147" t="s">
        <v>372</v>
      </c>
      <c r="P147" t="s">
        <v>372</v>
      </c>
      <c r="Q147">
        <v>1</v>
      </c>
      <c r="X147">
        <v>4.2699999999999996</v>
      </c>
      <c r="Y147">
        <v>0</v>
      </c>
      <c r="Z147">
        <v>0</v>
      </c>
      <c r="AA147">
        <v>0</v>
      </c>
      <c r="AB147">
        <v>534.48</v>
      </c>
      <c r="AC147">
        <v>0</v>
      </c>
      <c r="AD147">
        <v>1</v>
      </c>
      <c r="AE147">
        <v>1</v>
      </c>
      <c r="AF147" t="s">
        <v>3</v>
      </c>
      <c r="AG147">
        <v>4.2699999999999996</v>
      </c>
      <c r="AH147">
        <v>2</v>
      </c>
      <c r="AI147">
        <v>65179243</v>
      </c>
      <c r="AJ147">
        <v>147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ROW(Source!A116)</f>
        <v>116</v>
      </c>
      <c r="B148">
        <v>65179255</v>
      </c>
      <c r="C148">
        <v>65179242</v>
      </c>
      <c r="D148">
        <v>37064876</v>
      </c>
      <c r="E148">
        <v>108</v>
      </c>
      <c r="F148">
        <v>1</v>
      </c>
      <c r="G148">
        <v>1</v>
      </c>
      <c r="H148">
        <v>1</v>
      </c>
      <c r="I148" t="s">
        <v>373</v>
      </c>
      <c r="J148" t="s">
        <v>3</v>
      </c>
      <c r="K148" t="s">
        <v>374</v>
      </c>
      <c r="L148">
        <v>1191</v>
      </c>
      <c r="N148">
        <v>1013</v>
      </c>
      <c r="O148" t="s">
        <v>372</v>
      </c>
      <c r="P148" t="s">
        <v>372</v>
      </c>
      <c r="Q148">
        <v>1</v>
      </c>
      <c r="X148">
        <v>3.73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2</v>
      </c>
      <c r="AF148" t="s">
        <v>3</v>
      </c>
      <c r="AG148">
        <v>3.73</v>
      </c>
      <c r="AH148">
        <v>2</v>
      </c>
      <c r="AI148">
        <v>65179244</v>
      </c>
      <c r="AJ148">
        <v>148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ROW(Source!A116)</f>
        <v>116</v>
      </c>
      <c r="B149">
        <v>65179256</v>
      </c>
      <c r="C149">
        <v>65179242</v>
      </c>
      <c r="D149">
        <v>56571417</v>
      </c>
      <c r="E149">
        <v>1</v>
      </c>
      <c r="F149">
        <v>1</v>
      </c>
      <c r="G149">
        <v>1</v>
      </c>
      <c r="H149">
        <v>2</v>
      </c>
      <c r="I149" t="s">
        <v>386</v>
      </c>
      <c r="J149" t="s">
        <v>387</v>
      </c>
      <c r="K149" t="s">
        <v>388</v>
      </c>
      <c r="L149">
        <v>1368</v>
      </c>
      <c r="N149">
        <v>1011</v>
      </c>
      <c r="O149" t="s">
        <v>378</v>
      </c>
      <c r="P149" t="s">
        <v>378</v>
      </c>
      <c r="Q149">
        <v>1</v>
      </c>
      <c r="X149">
        <v>0.01</v>
      </c>
      <c r="Y149">
        <v>0</v>
      </c>
      <c r="Z149">
        <v>1551.19</v>
      </c>
      <c r="AA149">
        <v>658.94</v>
      </c>
      <c r="AB149">
        <v>0</v>
      </c>
      <c r="AC149">
        <v>0</v>
      </c>
      <c r="AD149">
        <v>1</v>
      </c>
      <c r="AE149">
        <v>0</v>
      </c>
      <c r="AF149" t="s">
        <v>3</v>
      </c>
      <c r="AG149">
        <v>0.01</v>
      </c>
      <c r="AH149">
        <v>2</v>
      </c>
      <c r="AI149">
        <v>65179245</v>
      </c>
      <c r="AJ149">
        <v>149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ROW(Source!A116)</f>
        <v>116</v>
      </c>
      <c r="B150">
        <v>65179257</v>
      </c>
      <c r="C150">
        <v>65179242</v>
      </c>
      <c r="D150">
        <v>56571773</v>
      </c>
      <c r="E150">
        <v>1</v>
      </c>
      <c r="F150">
        <v>1</v>
      </c>
      <c r="G150">
        <v>1</v>
      </c>
      <c r="H150">
        <v>2</v>
      </c>
      <c r="I150" t="s">
        <v>416</v>
      </c>
      <c r="J150" t="s">
        <v>417</v>
      </c>
      <c r="K150" t="s">
        <v>418</v>
      </c>
      <c r="L150">
        <v>1368</v>
      </c>
      <c r="N150">
        <v>1011</v>
      </c>
      <c r="O150" t="s">
        <v>378</v>
      </c>
      <c r="P150" t="s">
        <v>378</v>
      </c>
      <c r="Q150">
        <v>1</v>
      </c>
      <c r="X150">
        <v>3.71</v>
      </c>
      <c r="Y150">
        <v>0</v>
      </c>
      <c r="Z150">
        <v>1472.34</v>
      </c>
      <c r="AA150">
        <v>658.94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3.71</v>
      </c>
      <c r="AH150">
        <v>2</v>
      </c>
      <c r="AI150">
        <v>65179246</v>
      </c>
      <c r="AJ150">
        <v>150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ROW(Source!A116)</f>
        <v>116</v>
      </c>
      <c r="B151">
        <v>65179258</v>
      </c>
      <c r="C151">
        <v>65179242</v>
      </c>
      <c r="D151">
        <v>56572833</v>
      </c>
      <c r="E151">
        <v>1</v>
      </c>
      <c r="F151">
        <v>1</v>
      </c>
      <c r="G151">
        <v>1</v>
      </c>
      <c r="H151">
        <v>2</v>
      </c>
      <c r="I151" t="s">
        <v>380</v>
      </c>
      <c r="J151" t="s">
        <v>381</v>
      </c>
      <c r="K151" t="s">
        <v>382</v>
      </c>
      <c r="L151">
        <v>1368</v>
      </c>
      <c r="N151">
        <v>1011</v>
      </c>
      <c r="O151" t="s">
        <v>378</v>
      </c>
      <c r="P151" t="s">
        <v>378</v>
      </c>
      <c r="Q151">
        <v>1</v>
      </c>
      <c r="X151">
        <v>0.01</v>
      </c>
      <c r="Y151">
        <v>0</v>
      </c>
      <c r="Z151">
        <v>477.92</v>
      </c>
      <c r="AA151">
        <v>490.55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0.01</v>
      </c>
      <c r="AH151">
        <v>2</v>
      </c>
      <c r="AI151">
        <v>65179247</v>
      </c>
      <c r="AJ151">
        <v>151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ROW(Source!A116)</f>
        <v>116</v>
      </c>
      <c r="B152">
        <v>65179259</v>
      </c>
      <c r="C152">
        <v>65179242</v>
      </c>
      <c r="D152">
        <v>56578363</v>
      </c>
      <c r="E152">
        <v>1</v>
      </c>
      <c r="F152">
        <v>1</v>
      </c>
      <c r="G152">
        <v>1</v>
      </c>
      <c r="H152">
        <v>3</v>
      </c>
      <c r="I152" t="s">
        <v>419</v>
      </c>
      <c r="J152" t="s">
        <v>420</v>
      </c>
      <c r="K152" t="s">
        <v>421</v>
      </c>
      <c r="L152">
        <v>1301</v>
      </c>
      <c r="N152">
        <v>1003</v>
      </c>
      <c r="O152" t="s">
        <v>422</v>
      </c>
      <c r="P152" t="s">
        <v>422</v>
      </c>
      <c r="Q152">
        <v>1</v>
      </c>
      <c r="X152">
        <v>29.09</v>
      </c>
      <c r="Y152">
        <v>0.5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29.09</v>
      </c>
      <c r="AH152">
        <v>2</v>
      </c>
      <c r="AI152">
        <v>65179248</v>
      </c>
      <c r="AJ152">
        <v>152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ROW(Source!A116)</f>
        <v>116</v>
      </c>
      <c r="B153">
        <v>65179260</v>
      </c>
      <c r="C153">
        <v>65179242</v>
      </c>
      <c r="D153">
        <v>56580368</v>
      </c>
      <c r="E153">
        <v>1</v>
      </c>
      <c r="F153">
        <v>1</v>
      </c>
      <c r="G153">
        <v>1</v>
      </c>
      <c r="H153">
        <v>3</v>
      </c>
      <c r="I153" t="s">
        <v>411</v>
      </c>
      <c r="J153" t="s">
        <v>412</v>
      </c>
      <c r="K153" t="s">
        <v>413</v>
      </c>
      <c r="L153">
        <v>1346</v>
      </c>
      <c r="N153">
        <v>1009</v>
      </c>
      <c r="O153" t="s">
        <v>253</v>
      </c>
      <c r="P153" t="s">
        <v>253</v>
      </c>
      <c r="Q153">
        <v>1</v>
      </c>
      <c r="X153">
        <v>0.02</v>
      </c>
      <c r="Y153">
        <v>174.93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0.02</v>
      </c>
      <c r="AH153">
        <v>2</v>
      </c>
      <c r="AI153">
        <v>65179249</v>
      </c>
      <c r="AJ153">
        <v>153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ROW(Source!A116)</f>
        <v>116</v>
      </c>
      <c r="B154">
        <v>65179261</v>
      </c>
      <c r="C154">
        <v>65179242</v>
      </c>
      <c r="D154">
        <v>56610084</v>
      </c>
      <c r="E154">
        <v>1</v>
      </c>
      <c r="F154">
        <v>1</v>
      </c>
      <c r="G154">
        <v>1</v>
      </c>
      <c r="H154">
        <v>3</v>
      </c>
      <c r="I154" t="s">
        <v>423</v>
      </c>
      <c r="J154" t="s">
        <v>424</v>
      </c>
      <c r="K154" t="s">
        <v>425</v>
      </c>
      <c r="L154">
        <v>1346</v>
      </c>
      <c r="N154">
        <v>1009</v>
      </c>
      <c r="O154" t="s">
        <v>253</v>
      </c>
      <c r="P154" t="s">
        <v>253</v>
      </c>
      <c r="Q154">
        <v>1</v>
      </c>
      <c r="X154">
        <v>0.13</v>
      </c>
      <c r="Y154">
        <v>79.88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0.13</v>
      </c>
      <c r="AH154">
        <v>2</v>
      </c>
      <c r="AI154">
        <v>65179250</v>
      </c>
      <c r="AJ154">
        <v>154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ROW(Source!A116)</f>
        <v>116</v>
      </c>
      <c r="B155">
        <v>65179262</v>
      </c>
      <c r="C155">
        <v>65179242</v>
      </c>
      <c r="D155">
        <v>56610130</v>
      </c>
      <c r="E155">
        <v>1</v>
      </c>
      <c r="F155">
        <v>1</v>
      </c>
      <c r="G155">
        <v>1</v>
      </c>
      <c r="H155">
        <v>3</v>
      </c>
      <c r="I155" t="s">
        <v>426</v>
      </c>
      <c r="J155" t="s">
        <v>427</v>
      </c>
      <c r="K155" t="s">
        <v>428</v>
      </c>
      <c r="L155">
        <v>1348</v>
      </c>
      <c r="N155">
        <v>1009</v>
      </c>
      <c r="O155" t="s">
        <v>244</v>
      </c>
      <c r="P155" t="s">
        <v>244</v>
      </c>
      <c r="Q155">
        <v>1000</v>
      </c>
      <c r="X155">
        <v>2.0000000000000002E-5</v>
      </c>
      <c r="Y155">
        <v>82698.14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2.0000000000000002E-5</v>
      </c>
      <c r="AH155">
        <v>2</v>
      </c>
      <c r="AI155">
        <v>65179251</v>
      </c>
      <c r="AJ155">
        <v>155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ROW(Source!A116)</f>
        <v>116</v>
      </c>
      <c r="B156">
        <v>65179263</v>
      </c>
      <c r="C156">
        <v>65179242</v>
      </c>
      <c r="D156">
        <v>56622749</v>
      </c>
      <c r="E156">
        <v>1</v>
      </c>
      <c r="F156">
        <v>1</v>
      </c>
      <c r="G156">
        <v>1</v>
      </c>
      <c r="H156">
        <v>3</v>
      </c>
      <c r="I156" t="s">
        <v>429</v>
      </c>
      <c r="J156" t="s">
        <v>430</v>
      </c>
      <c r="K156" t="s">
        <v>431</v>
      </c>
      <c r="L156">
        <v>1407</v>
      </c>
      <c r="N156">
        <v>1013</v>
      </c>
      <c r="O156" t="s">
        <v>432</v>
      </c>
      <c r="P156" t="s">
        <v>432</v>
      </c>
      <c r="Q156">
        <v>1</v>
      </c>
      <c r="X156">
        <v>8.0000000000000002E-3</v>
      </c>
      <c r="Y156">
        <v>3658.94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8.0000000000000002E-3</v>
      </c>
      <c r="AH156">
        <v>2</v>
      </c>
      <c r="AI156">
        <v>65179252</v>
      </c>
      <c r="AJ156">
        <v>156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ROW(Source!A116)</f>
        <v>116</v>
      </c>
      <c r="B157">
        <v>65179264</v>
      </c>
      <c r="C157">
        <v>65179242</v>
      </c>
      <c r="D157">
        <v>56223463</v>
      </c>
      <c r="E157">
        <v>108</v>
      </c>
      <c r="F157">
        <v>1</v>
      </c>
      <c r="G157">
        <v>1</v>
      </c>
      <c r="H157">
        <v>3</v>
      </c>
      <c r="I157" t="s">
        <v>406</v>
      </c>
      <c r="J157" t="s">
        <v>3</v>
      </c>
      <c r="K157" t="s">
        <v>407</v>
      </c>
      <c r="L157">
        <v>3277935</v>
      </c>
      <c r="N157">
        <v>1013</v>
      </c>
      <c r="O157" t="s">
        <v>408</v>
      </c>
      <c r="P157" t="s">
        <v>408</v>
      </c>
      <c r="Q157">
        <v>1</v>
      </c>
      <c r="X157">
        <v>2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 t="s">
        <v>3</v>
      </c>
      <c r="AG157">
        <v>2</v>
      </c>
      <c r="AH157">
        <v>2</v>
      </c>
      <c r="AI157">
        <v>65179253</v>
      </c>
      <c r="AJ157">
        <v>157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ROW(Source!A117)</f>
        <v>117</v>
      </c>
      <c r="B158">
        <v>65179586</v>
      </c>
      <c r="C158">
        <v>65179301</v>
      </c>
      <c r="D158">
        <v>63884150</v>
      </c>
      <c r="E158">
        <v>112</v>
      </c>
      <c r="F158">
        <v>1</v>
      </c>
      <c r="G158">
        <v>1</v>
      </c>
      <c r="H158">
        <v>1</v>
      </c>
      <c r="I158" t="s">
        <v>433</v>
      </c>
      <c r="J158" t="s">
        <v>3</v>
      </c>
      <c r="K158" t="s">
        <v>519</v>
      </c>
      <c r="L158">
        <v>1191</v>
      </c>
      <c r="N158">
        <v>1013</v>
      </c>
      <c r="O158" t="s">
        <v>372</v>
      </c>
      <c r="P158" t="s">
        <v>372</v>
      </c>
      <c r="Q158">
        <v>1</v>
      </c>
      <c r="X158">
        <v>10.3</v>
      </c>
      <c r="Y158">
        <v>0</v>
      </c>
      <c r="Z158">
        <v>0</v>
      </c>
      <c r="AA158">
        <v>0</v>
      </c>
      <c r="AB158">
        <v>479.56</v>
      </c>
      <c r="AC158">
        <v>0</v>
      </c>
      <c r="AD158">
        <v>1</v>
      </c>
      <c r="AE158">
        <v>1</v>
      </c>
      <c r="AF158" t="s">
        <v>3</v>
      </c>
      <c r="AG158">
        <v>10.3</v>
      </c>
      <c r="AH158">
        <v>2</v>
      </c>
      <c r="AI158">
        <v>65179586</v>
      </c>
      <c r="AJ158">
        <v>158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ROW(Source!A117)</f>
        <v>117</v>
      </c>
      <c r="B159">
        <v>65179587</v>
      </c>
      <c r="C159">
        <v>65179301</v>
      </c>
      <c r="D159">
        <v>63884368</v>
      </c>
      <c r="E159">
        <v>112</v>
      </c>
      <c r="F159">
        <v>1</v>
      </c>
      <c r="G159">
        <v>1</v>
      </c>
      <c r="H159">
        <v>1</v>
      </c>
      <c r="I159" t="s">
        <v>373</v>
      </c>
      <c r="J159" t="s">
        <v>3</v>
      </c>
      <c r="K159" t="s">
        <v>374</v>
      </c>
      <c r="L159">
        <v>1191</v>
      </c>
      <c r="N159">
        <v>1013</v>
      </c>
      <c r="O159" t="s">
        <v>372</v>
      </c>
      <c r="P159" t="s">
        <v>372</v>
      </c>
      <c r="Q159">
        <v>1</v>
      </c>
      <c r="X159">
        <v>0.54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2</v>
      </c>
      <c r="AF159" t="s">
        <v>3</v>
      </c>
      <c r="AG159">
        <v>0.54</v>
      </c>
      <c r="AH159">
        <v>2</v>
      </c>
      <c r="AI159">
        <v>65179587</v>
      </c>
      <c r="AJ159">
        <v>159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ROW(Source!A117)</f>
        <v>117</v>
      </c>
      <c r="B160">
        <v>65179588</v>
      </c>
      <c r="C160">
        <v>65179301</v>
      </c>
      <c r="D160">
        <v>64001515</v>
      </c>
      <c r="E160">
        <v>1</v>
      </c>
      <c r="F160">
        <v>1</v>
      </c>
      <c r="G160">
        <v>1</v>
      </c>
      <c r="H160">
        <v>2</v>
      </c>
      <c r="I160" t="s">
        <v>386</v>
      </c>
      <c r="J160" t="s">
        <v>387</v>
      </c>
      <c r="K160" t="s">
        <v>388</v>
      </c>
      <c r="L160">
        <v>1368</v>
      </c>
      <c r="N160">
        <v>1011</v>
      </c>
      <c r="O160" t="s">
        <v>378</v>
      </c>
      <c r="P160" t="s">
        <v>378</v>
      </c>
      <c r="Q160">
        <v>1</v>
      </c>
      <c r="X160">
        <v>0.27</v>
      </c>
      <c r="Y160">
        <v>0</v>
      </c>
      <c r="Z160">
        <v>1551.19</v>
      </c>
      <c r="AA160">
        <v>658.94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0.27</v>
      </c>
      <c r="AH160">
        <v>2</v>
      </c>
      <c r="AI160">
        <v>65179588</v>
      </c>
      <c r="AJ160">
        <v>160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ROW(Source!A117)</f>
        <v>117</v>
      </c>
      <c r="B161">
        <v>65179589</v>
      </c>
      <c r="C161">
        <v>65179301</v>
      </c>
      <c r="D161">
        <v>64002400</v>
      </c>
      <c r="E161">
        <v>1</v>
      </c>
      <c r="F161">
        <v>1</v>
      </c>
      <c r="G161">
        <v>1</v>
      </c>
      <c r="H161">
        <v>2</v>
      </c>
      <c r="I161" t="s">
        <v>380</v>
      </c>
      <c r="J161" t="s">
        <v>381</v>
      </c>
      <c r="K161" t="s">
        <v>382</v>
      </c>
      <c r="L161">
        <v>1368</v>
      </c>
      <c r="N161">
        <v>1011</v>
      </c>
      <c r="O161" t="s">
        <v>378</v>
      </c>
      <c r="P161" t="s">
        <v>378</v>
      </c>
      <c r="Q161">
        <v>1</v>
      </c>
      <c r="X161">
        <v>0.27</v>
      </c>
      <c r="Y161">
        <v>0</v>
      </c>
      <c r="Z161">
        <v>477.92</v>
      </c>
      <c r="AA161">
        <v>490.55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0.27</v>
      </c>
      <c r="AH161">
        <v>2</v>
      </c>
      <c r="AI161">
        <v>65179589</v>
      </c>
      <c r="AJ161">
        <v>161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ROW(Source!A117)</f>
        <v>117</v>
      </c>
      <c r="B162">
        <v>65179590</v>
      </c>
      <c r="C162">
        <v>65179301</v>
      </c>
      <c r="D162">
        <v>64002592</v>
      </c>
      <c r="E162">
        <v>1</v>
      </c>
      <c r="F162">
        <v>1</v>
      </c>
      <c r="G162">
        <v>1</v>
      </c>
      <c r="H162">
        <v>2</v>
      </c>
      <c r="I162" t="s">
        <v>435</v>
      </c>
      <c r="J162" t="s">
        <v>436</v>
      </c>
      <c r="K162" t="s">
        <v>437</v>
      </c>
      <c r="L162">
        <v>1368</v>
      </c>
      <c r="N162">
        <v>1011</v>
      </c>
      <c r="O162" t="s">
        <v>378</v>
      </c>
      <c r="P162" t="s">
        <v>378</v>
      </c>
      <c r="Q162">
        <v>1</v>
      </c>
      <c r="X162">
        <v>1.51</v>
      </c>
      <c r="Y162">
        <v>0</v>
      </c>
      <c r="Z162">
        <v>26.32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1.51</v>
      </c>
      <c r="AH162">
        <v>2</v>
      </c>
      <c r="AI162">
        <v>65179590</v>
      </c>
      <c r="AJ162">
        <v>162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ROW(Source!A117)</f>
        <v>117</v>
      </c>
      <c r="B163">
        <v>65179591</v>
      </c>
      <c r="C163">
        <v>65179301</v>
      </c>
      <c r="D163">
        <v>63955524</v>
      </c>
      <c r="E163">
        <v>1</v>
      </c>
      <c r="F163">
        <v>1</v>
      </c>
      <c r="G163">
        <v>1</v>
      </c>
      <c r="H163">
        <v>3</v>
      </c>
      <c r="I163" t="s">
        <v>438</v>
      </c>
      <c r="J163" t="s">
        <v>439</v>
      </c>
      <c r="K163" t="s">
        <v>440</v>
      </c>
      <c r="L163">
        <v>1346</v>
      </c>
      <c r="N163">
        <v>1009</v>
      </c>
      <c r="O163" t="s">
        <v>253</v>
      </c>
      <c r="P163" t="s">
        <v>253</v>
      </c>
      <c r="Q163">
        <v>1</v>
      </c>
      <c r="X163">
        <v>0.72</v>
      </c>
      <c r="Y163">
        <v>155.63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0.72</v>
      </c>
      <c r="AH163">
        <v>2</v>
      </c>
      <c r="AI163">
        <v>65179591</v>
      </c>
      <c r="AJ163">
        <v>163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ROW(Source!A117)</f>
        <v>117</v>
      </c>
      <c r="B164">
        <v>65179592</v>
      </c>
      <c r="C164">
        <v>65179301</v>
      </c>
      <c r="D164">
        <v>63972569</v>
      </c>
      <c r="E164">
        <v>1</v>
      </c>
      <c r="F164">
        <v>1</v>
      </c>
      <c r="G164">
        <v>1</v>
      </c>
      <c r="H164">
        <v>3</v>
      </c>
      <c r="I164" t="s">
        <v>441</v>
      </c>
      <c r="J164" t="s">
        <v>442</v>
      </c>
      <c r="K164" t="s">
        <v>443</v>
      </c>
      <c r="L164">
        <v>1346</v>
      </c>
      <c r="N164">
        <v>1009</v>
      </c>
      <c r="O164" t="s">
        <v>253</v>
      </c>
      <c r="P164" t="s">
        <v>253</v>
      </c>
      <c r="Q164">
        <v>1</v>
      </c>
      <c r="X164">
        <v>2.4</v>
      </c>
      <c r="Y164">
        <v>911.56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3</v>
      </c>
      <c r="AG164">
        <v>2.4</v>
      </c>
      <c r="AH164">
        <v>2</v>
      </c>
      <c r="AI164">
        <v>65179592</v>
      </c>
      <c r="AJ164">
        <v>164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ROW(Source!A117)</f>
        <v>117</v>
      </c>
      <c r="B165">
        <v>65179593</v>
      </c>
      <c r="C165">
        <v>65179301</v>
      </c>
      <c r="D165">
        <v>63889959</v>
      </c>
      <c r="E165">
        <v>112</v>
      </c>
      <c r="F165">
        <v>1</v>
      </c>
      <c r="G165">
        <v>1</v>
      </c>
      <c r="H165">
        <v>3</v>
      </c>
      <c r="I165" t="s">
        <v>406</v>
      </c>
      <c r="J165" t="s">
        <v>3</v>
      </c>
      <c r="K165" t="s">
        <v>407</v>
      </c>
      <c r="L165">
        <v>3277935</v>
      </c>
      <c r="N165">
        <v>1013</v>
      </c>
      <c r="O165" t="s">
        <v>408</v>
      </c>
      <c r="P165" t="s">
        <v>408</v>
      </c>
      <c r="Q165">
        <v>1</v>
      </c>
      <c r="X165">
        <v>2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 t="s">
        <v>3</v>
      </c>
      <c r="AG165">
        <v>2</v>
      </c>
      <c r="AH165">
        <v>2</v>
      </c>
      <c r="AI165">
        <v>65179593</v>
      </c>
      <c r="AJ165">
        <v>165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ROW(Source!A118)</f>
        <v>118</v>
      </c>
      <c r="B166">
        <v>65179611</v>
      </c>
      <c r="C166">
        <v>65179337</v>
      </c>
      <c r="D166">
        <v>63884150</v>
      </c>
      <c r="E166">
        <v>112</v>
      </c>
      <c r="F166">
        <v>1</v>
      </c>
      <c r="G166">
        <v>1</v>
      </c>
      <c r="H166">
        <v>1</v>
      </c>
      <c r="I166" t="s">
        <v>433</v>
      </c>
      <c r="J166" t="s">
        <v>3</v>
      </c>
      <c r="K166" t="s">
        <v>519</v>
      </c>
      <c r="L166">
        <v>1191</v>
      </c>
      <c r="N166">
        <v>1013</v>
      </c>
      <c r="O166" t="s">
        <v>372</v>
      </c>
      <c r="P166" t="s">
        <v>372</v>
      </c>
      <c r="Q166">
        <v>1</v>
      </c>
      <c r="X166">
        <v>18.5</v>
      </c>
      <c r="Y166">
        <v>0</v>
      </c>
      <c r="Z166">
        <v>0</v>
      </c>
      <c r="AA166">
        <v>0</v>
      </c>
      <c r="AB166">
        <v>479.56</v>
      </c>
      <c r="AC166">
        <v>0</v>
      </c>
      <c r="AD166">
        <v>1</v>
      </c>
      <c r="AE166">
        <v>1</v>
      </c>
      <c r="AF166" t="s">
        <v>3</v>
      </c>
      <c r="AG166">
        <v>18.5</v>
      </c>
      <c r="AH166">
        <v>2</v>
      </c>
      <c r="AI166">
        <v>65179611</v>
      </c>
      <c r="AJ166">
        <v>166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ROW(Source!A118)</f>
        <v>118</v>
      </c>
      <c r="B167">
        <v>65179612</v>
      </c>
      <c r="C167">
        <v>65179337</v>
      </c>
      <c r="D167">
        <v>63884368</v>
      </c>
      <c r="E167">
        <v>112</v>
      </c>
      <c r="F167">
        <v>1</v>
      </c>
      <c r="G167">
        <v>1</v>
      </c>
      <c r="H167">
        <v>1</v>
      </c>
      <c r="I167" t="s">
        <v>373</v>
      </c>
      <c r="J167" t="s">
        <v>3</v>
      </c>
      <c r="K167" t="s">
        <v>374</v>
      </c>
      <c r="L167">
        <v>1191</v>
      </c>
      <c r="N167">
        <v>1013</v>
      </c>
      <c r="O167" t="s">
        <v>372</v>
      </c>
      <c r="P167" t="s">
        <v>372</v>
      </c>
      <c r="Q167">
        <v>1</v>
      </c>
      <c r="X167">
        <v>0.34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2</v>
      </c>
      <c r="AF167" t="s">
        <v>3</v>
      </c>
      <c r="AG167">
        <v>0.34</v>
      </c>
      <c r="AH167">
        <v>2</v>
      </c>
      <c r="AI167">
        <v>65179612</v>
      </c>
      <c r="AJ167">
        <v>167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ROW(Source!A118)</f>
        <v>118</v>
      </c>
      <c r="B168">
        <v>65179613</v>
      </c>
      <c r="C168">
        <v>65179337</v>
      </c>
      <c r="D168">
        <v>64001515</v>
      </c>
      <c r="E168">
        <v>1</v>
      </c>
      <c r="F168">
        <v>1</v>
      </c>
      <c r="G168">
        <v>1</v>
      </c>
      <c r="H168">
        <v>2</v>
      </c>
      <c r="I168" t="s">
        <v>386</v>
      </c>
      <c r="J168" t="s">
        <v>387</v>
      </c>
      <c r="K168" t="s">
        <v>388</v>
      </c>
      <c r="L168">
        <v>1368</v>
      </c>
      <c r="N168">
        <v>1011</v>
      </c>
      <c r="O168" t="s">
        <v>378</v>
      </c>
      <c r="P168" t="s">
        <v>378</v>
      </c>
      <c r="Q168">
        <v>1</v>
      </c>
      <c r="X168">
        <v>0.17</v>
      </c>
      <c r="Y168">
        <v>0</v>
      </c>
      <c r="Z168">
        <v>1551.19</v>
      </c>
      <c r="AA168">
        <v>658.94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0.17</v>
      </c>
      <c r="AH168">
        <v>2</v>
      </c>
      <c r="AI168">
        <v>65179613</v>
      </c>
      <c r="AJ168">
        <v>168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ROW(Source!A118)</f>
        <v>118</v>
      </c>
      <c r="B169">
        <v>65179614</v>
      </c>
      <c r="C169">
        <v>65179337</v>
      </c>
      <c r="D169">
        <v>64002400</v>
      </c>
      <c r="E169">
        <v>1</v>
      </c>
      <c r="F169">
        <v>1</v>
      </c>
      <c r="G169">
        <v>1</v>
      </c>
      <c r="H169">
        <v>2</v>
      </c>
      <c r="I169" t="s">
        <v>380</v>
      </c>
      <c r="J169" t="s">
        <v>381</v>
      </c>
      <c r="K169" t="s">
        <v>382</v>
      </c>
      <c r="L169">
        <v>1368</v>
      </c>
      <c r="N169">
        <v>1011</v>
      </c>
      <c r="O169" t="s">
        <v>378</v>
      </c>
      <c r="P169" t="s">
        <v>378</v>
      </c>
      <c r="Q169">
        <v>1</v>
      </c>
      <c r="X169">
        <v>0.17</v>
      </c>
      <c r="Y169">
        <v>0</v>
      </c>
      <c r="Z169">
        <v>477.92</v>
      </c>
      <c r="AA169">
        <v>490.55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0.17</v>
      </c>
      <c r="AH169">
        <v>2</v>
      </c>
      <c r="AI169">
        <v>65179614</v>
      </c>
      <c r="AJ169">
        <v>169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ROW(Source!A118)</f>
        <v>118</v>
      </c>
      <c r="B170">
        <v>65179615</v>
      </c>
      <c r="C170">
        <v>65179337</v>
      </c>
      <c r="D170">
        <v>64002592</v>
      </c>
      <c r="E170">
        <v>1</v>
      </c>
      <c r="F170">
        <v>1</v>
      </c>
      <c r="G170">
        <v>1</v>
      </c>
      <c r="H170">
        <v>2</v>
      </c>
      <c r="I170" t="s">
        <v>435</v>
      </c>
      <c r="J170" t="s">
        <v>436</v>
      </c>
      <c r="K170" t="s">
        <v>437</v>
      </c>
      <c r="L170">
        <v>1368</v>
      </c>
      <c r="N170">
        <v>1011</v>
      </c>
      <c r="O170" t="s">
        <v>378</v>
      </c>
      <c r="P170" t="s">
        <v>378</v>
      </c>
      <c r="Q170">
        <v>1</v>
      </c>
      <c r="X170">
        <v>2.9</v>
      </c>
      <c r="Y170">
        <v>0</v>
      </c>
      <c r="Z170">
        <v>26.32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2.9</v>
      </c>
      <c r="AH170">
        <v>2</v>
      </c>
      <c r="AI170">
        <v>65179615</v>
      </c>
      <c r="AJ170">
        <v>170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ROW(Source!A118)</f>
        <v>118</v>
      </c>
      <c r="B171">
        <v>65179616</v>
      </c>
      <c r="C171">
        <v>65179337</v>
      </c>
      <c r="D171">
        <v>63955524</v>
      </c>
      <c r="E171">
        <v>1</v>
      </c>
      <c r="F171">
        <v>1</v>
      </c>
      <c r="G171">
        <v>1</v>
      </c>
      <c r="H171">
        <v>3</v>
      </c>
      <c r="I171" t="s">
        <v>438</v>
      </c>
      <c r="J171" t="s">
        <v>439</v>
      </c>
      <c r="K171" t="s">
        <v>440</v>
      </c>
      <c r="L171">
        <v>1346</v>
      </c>
      <c r="N171">
        <v>1009</v>
      </c>
      <c r="O171" t="s">
        <v>253</v>
      </c>
      <c r="P171" t="s">
        <v>253</v>
      </c>
      <c r="Q171">
        <v>1</v>
      </c>
      <c r="X171">
        <v>0.9</v>
      </c>
      <c r="Y171">
        <v>155.63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0.9</v>
      </c>
      <c r="AH171">
        <v>2</v>
      </c>
      <c r="AI171">
        <v>65179616</v>
      </c>
      <c r="AJ171">
        <v>171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ROW(Source!A118)</f>
        <v>118</v>
      </c>
      <c r="B172">
        <v>65179617</v>
      </c>
      <c r="C172">
        <v>65179337</v>
      </c>
      <c r="D172">
        <v>63963007</v>
      </c>
      <c r="E172">
        <v>1</v>
      </c>
      <c r="F172">
        <v>1</v>
      </c>
      <c r="G172">
        <v>1</v>
      </c>
      <c r="H172">
        <v>3</v>
      </c>
      <c r="I172" t="s">
        <v>444</v>
      </c>
      <c r="J172" t="s">
        <v>445</v>
      </c>
      <c r="K172" t="s">
        <v>446</v>
      </c>
      <c r="L172">
        <v>1348</v>
      </c>
      <c r="N172">
        <v>1009</v>
      </c>
      <c r="O172" t="s">
        <v>244</v>
      </c>
      <c r="P172" t="s">
        <v>244</v>
      </c>
      <c r="Q172">
        <v>1000</v>
      </c>
      <c r="X172">
        <v>4.0000000000000001E-3</v>
      </c>
      <c r="Y172">
        <v>71131.5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4.0000000000000001E-3</v>
      </c>
      <c r="AH172">
        <v>2</v>
      </c>
      <c r="AI172">
        <v>65179617</v>
      </c>
      <c r="AJ172">
        <v>172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ROW(Source!A118)</f>
        <v>118</v>
      </c>
      <c r="B173">
        <v>65179618</v>
      </c>
      <c r="C173">
        <v>65179337</v>
      </c>
      <c r="D173">
        <v>63972569</v>
      </c>
      <c r="E173">
        <v>1</v>
      </c>
      <c r="F173">
        <v>1</v>
      </c>
      <c r="G173">
        <v>1</v>
      </c>
      <c r="H173">
        <v>3</v>
      </c>
      <c r="I173" t="s">
        <v>441</v>
      </c>
      <c r="J173" t="s">
        <v>442</v>
      </c>
      <c r="K173" t="s">
        <v>443</v>
      </c>
      <c r="L173">
        <v>1346</v>
      </c>
      <c r="N173">
        <v>1009</v>
      </c>
      <c r="O173" t="s">
        <v>253</v>
      </c>
      <c r="P173" t="s">
        <v>253</v>
      </c>
      <c r="Q173">
        <v>1</v>
      </c>
      <c r="X173">
        <v>2.4</v>
      </c>
      <c r="Y173">
        <v>911.56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2.4</v>
      </c>
      <c r="AH173">
        <v>2</v>
      </c>
      <c r="AI173">
        <v>65179618</v>
      </c>
      <c r="AJ173">
        <v>173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ROW(Source!A118)</f>
        <v>118</v>
      </c>
      <c r="B174">
        <v>65179619</v>
      </c>
      <c r="C174">
        <v>65179337</v>
      </c>
      <c r="D174">
        <v>63889959</v>
      </c>
      <c r="E174">
        <v>112</v>
      </c>
      <c r="F174">
        <v>1</v>
      </c>
      <c r="G174">
        <v>1</v>
      </c>
      <c r="H174">
        <v>3</v>
      </c>
      <c r="I174" t="s">
        <v>406</v>
      </c>
      <c r="J174" t="s">
        <v>3</v>
      </c>
      <c r="K174" t="s">
        <v>407</v>
      </c>
      <c r="L174">
        <v>3277935</v>
      </c>
      <c r="N174">
        <v>1013</v>
      </c>
      <c r="O174" t="s">
        <v>408</v>
      </c>
      <c r="P174" t="s">
        <v>408</v>
      </c>
      <c r="Q174">
        <v>1</v>
      </c>
      <c r="X174">
        <v>2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 t="s">
        <v>3</v>
      </c>
      <c r="AG174">
        <v>2</v>
      </c>
      <c r="AH174">
        <v>2</v>
      </c>
      <c r="AI174">
        <v>65179619</v>
      </c>
      <c r="AJ174">
        <v>174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ROW(Source!A206)</f>
        <v>206</v>
      </c>
      <c r="B175">
        <v>65179599</v>
      </c>
      <c r="C175">
        <v>65179485</v>
      </c>
      <c r="D175">
        <v>63884340</v>
      </c>
      <c r="E175">
        <v>112</v>
      </c>
      <c r="F175">
        <v>1</v>
      </c>
      <c r="G175">
        <v>1</v>
      </c>
      <c r="H175">
        <v>1</v>
      </c>
      <c r="I175" t="s">
        <v>520</v>
      </c>
      <c r="J175" t="s">
        <v>3</v>
      </c>
      <c r="K175" t="s">
        <v>521</v>
      </c>
      <c r="L175">
        <v>1369</v>
      </c>
      <c r="N175">
        <v>1013</v>
      </c>
      <c r="O175" t="s">
        <v>488</v>
      </c>
      <c r="P175" t="s">
        <v>488</v>
      </c>
      <c r="Q175">
        <v>1</v>
      </c>
      <c r="X175">
        <v>0.41</v>
      </c>
      <c r="Y175">
        <v>0</v>
      </c>
      <c r="Z175">
        <v>0</v>
      </c>
      <c r="AA175">
        <v>0</v>
      </c>
      <c r="AB175">
        <v>658.94</v>
      </c>
      <c r="AC175">
        <v>0</v>
      </c>
      <c r="AD175">
        <v>1</v>
      </c>
      <c r="AE175">
        <v>1</v>
      </c>
      <c r="AF175" t="s">
        <v>3</v>
      </c>
      <c r="AG175">
        <v>0.41</v>
      </c>
      <c r="AH175">
        <v>2</v>
      </c>
      <c r="AI175">
        <v>65179599</v>
      </c>
      <c r="AJ175">
        <v>175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ROW(Source!A206)</f>
        <v>206</v>
      </c>
      <c r="B176">
        <v>65179600</v>
      </c>
      <c r="C176">
        <v>65179485</v>
      </c>
      <c r="D176">
        <v>63884358</v>
      </c>
      <c r="E176">
        <v>112</v>
      </c>
      <c r="F176">
        <v>1</v>
      </c>
      <c r="G176">
        <v>1</v>
      </c>
      <c r="H176">
        <v>1</v>
      </c>
      <c r="I176" t="s">
        <v>522</v>
      </c>
      <c r="J176" t="s">
        <v>3</v>
      </c>
      <c r="K176" t="s">
        <v>523</v>
      </c>
      <c r="L176">
        <v>1369</v>
      </c>
      <c r="N176">
        <v>1013</v>
      </c>
      <c r="O176" t="s">
        <v>488</v>
      </c>
      <c r="P176" t="s">
        <v>488</v>
      </c>
      <c r="Q176">
        <v>1</v>
      </c>
      <c r="X176">
        <v>0.41</v>
      </c>
      <c r="Y176">
        <v>0</v>
      </c>
      <c r="Z176">
        <v>0</v>
      </c>
      <c r="AA176">
        <v>0</v>
      </c>
      <c r="AB176">
        <v>644.29999999999995</v>
      </c>
      <c r="AC176">
        <v>0</v>
      </c>
      <c r="AD176">
        <v>1</v>
      </c>
      <c r="AE176">
        <v>1</v>
      </c>
      <c r="AF176" t="s">
        <v>3</v>
      </c>
      <c r="AG176">
        <v>0.41</v>
      </c>
      <c r="AH176">
        <v>2</v>
      </c>
      <c r="AI176">
        <v>65179600</v>
      </c>
      <c r="AJ176">
        <v>176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ROW(Source!A207)</f>
        <v>207</v>
      </c>
      <c r="B177">
        <v>65179601</v>
      </c>
      <c r="C177">
        <v>65179490</v>
      </c>
      <c r="D177">
        <v>63884340</v>
      </c>
      <c r="E177">
        <v>112</v>
      </c>
      <c r="F177">
        <v>1</v>
      </c>
      <c r="G177">
        <v>1</v>
      </c>
      <c r="H177">
        <v>1</v>
      </c>
      <c r="I177" t="s">
        <v>520</v>
      </c>
      <c r="J177" t="s">
        <v>3</v>
      </c>
      <c r="K177" t="s">
        <v>521</v>
      </c>
      <c r="L177">
        <v>1369</v>
      </c>
      <c r="N177">
        <v>1013</v>
      </c>
      <c r="O177" t="s">
        <v>488</v>
      </c>
      <c r="P177" t="s">
        <v>488</v>
      </c>
      <c r="Q177">
        <v>1</v>
      </c>
      <c r="X177">
        <v>0.16</v>
      </c>
      <c r="Y177">
        <v>0</v>
      </c>
      <c r="Z177">
        <v>0</v>
      </c>
      <c r="AA177">
        <v>0</v>
      </c>
      <c r="AB177">
        <v>658.94</v>
      </c>
      <c r="AC177">
        <v>0</v>
      </c>
      <c r="AD177">
        <v>1</v>
      </c>
      <c r="AE177">
        <v>1</v>
      </c>
      <c r="AF177" t="s">
        <v>3</v>
      </c>
      <c r="AG177">
        <v>0.16</v>
      </c>
      <c r="AH177">
        <v>2</v>
      </c>
      <c r="AI177">
        <v>65179601</v>
      </c>
      <c r="AJ177">
        <v>177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ROW(Source!A207)</f>
        <v>207</v>
      </c>
      <c r="B178">
        <v>65179602</v>
      </c>
      <c r="C178">
        <v>65179490</v>
      </c>
      <c r="D178">
        <v>63884358</v>
      </c>
      <c r="E178">
        <v>112</v>
      </c>
      <c r="F178">
        <v>1</v>
      </c>
      <c r="G178">
        <v>1</v>
      </c>
      <c r="H178">
        <v>1</v>
      </c>
      <c r="I178" t="s">
        <v>522</v>
      </c>
      <c r="J178" t="s">
        <v>3</v>
      </c>
      <c r="K178" t="s">
        <v>523</v>
      </c>
      <c r="L178">
        <v>1369</v>
      </c>
      <c r="N178">
        <v>1013</v>
      </c>
      <c r="O178" t="s">
        <v>488</v>
      </c>
      <c r="P178" t="s">
        <v>488</v>
      </c>
      <c r="Q178">
        <v>1</v>
      </c>
      <c r="X178">
        <v>0.16</v>
      </c>
      <c r="Y178">
        <v>0</v>
      </c>
      <c r="Z178">
        <v>0</v>
      </c>
      <c r="AA178">
        <v>0</v>
      </c>
      <c r="AB178">
        <v>644.29999999999995</v>
      </c>
      <c r="AC178">
        <v>0</v>
      </c>
      <c r="AD178">
        <v>1</v>
      </c>
      <c r="AE178">
        <v>1</v>
      </c>
      <c r="AF178" t="s">
        <v>3</v>
      </c>
      <c r="AG178">
        <v>0.16</v>
      </c>
      <c r="AH178">
        <v>2</v>
      </c>
      <c r="AI178">
        <v>65179602</v>
      </c>
      <c r="AJ178">
        <v>178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ROW(Source!A208)</f>
        <v>208</v>
      </c>
      <c r="B179">
        <v>65179603</v>
      </c>
      <c r="C179">
        <v>65179495</v>
      </c>
      <c r="D179">
        <v>63884340</v>
      </c>
      <c r="E179">
        <v>112</v>
      </c>
      <c r="F179">
        <v>1</v>
      </c>
      <c r="G179">
        <v>1</v>
      </c>
      <c r="H179">
        <v>1</v>
      </c>
      <c r="I179" t="s">
        <v>520</v>
      </c>
      <c r="J179" t="s">
        <v>3</v>
      </c>
      <c r="K179" t="s">
        <v>521</v>
      </c>
      <c r="L179">
        <v>1369</v>
      </c>
      <c r="N179">
        <v>1013</v>
      </c>
      <c r="O179" t="s">
        <v>488</v>
      </c>
      <c r="P179" t="s">
        <v>488</v>
      </c>
      <c r="Q179">
        <v>1</v>
      </c>
      <c r="X179">
        <v>0.5</v>
      </c>
      <c r="Y179">
        <v>0</v>
      </c>
      <c r="Z179">
        <v>0</v>
      </c>
      <c r="AA179">
        <v>0</v>
      </c>
      <c r="AB179">
        <v>658.94</v>
      </c>
      <c r="AC179">
        <v>0</v>
      </c>
      <c r="AD179">
        <v>1</v>
      </c>
      <c r="AE179">
        <v>1</v>
      </c>
      <c r="AF179" t="s">
        <v>3</v>
      </c>
      <c r="AG179">
        <v>0.5</v>
      </c>
      <c r="AH179">
        <v>2</v>
      </c>
      <c r="AI179">
        <v>65179603</v>
      </c>
      <c r="AJ179">
        <v>179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ROW(Source!A208)</f>
        <v>208</v>
      </c>
      <c r="B180">
        <v>65179604</v>
      </c>
      <c r="C180">
        <v>65179495</v>
      </c>
      <c r="D180">
        <v>63884358</v>
      </c>
      <c r="E180">
        <v>112</v>
      </c>
      <c r="F180">
        <v>1</v>
      </c>
      <c r="G180">
        <v>1</v>
      </c>
      <c r="H180">
        <v>1</v>
      </c>
      <c r="I180" t="s">
        <v>522</v>
      </c>
      <c r="J180" t="s">
        <v>3</v>
      </c>
      <c r="K180" t="s">
        <v>523</v>
      </c>
      <c r="L180">
        <v>1369</v>
      </c>
      <c r="N180">
        <v>1013</v>
      </c>
      <c r="O180" t="s">
        <v>488</v>
      </c>
      <c r="P180" t="s">
        <v>488</v>
      </c>
      <c r="Q180">
        <v>1</v>
      </c>
      <c r="X180">
        <v>0.5</v>
      </c>
      <c r="Y180">
        <v>0</v>
      </c>
      <c r="Z180">
        <v>0</v>
      </c>
      <c r="AA180">
        <v>0</v>
      </c>
      <c r="AB180">
        <v>644.29999999999995</v>
      </c>
      <c r="AC180">
        <v>0</v>
      </c>
      <c r="AD180">
        <v>1</v>
      </c>
      <c r="AE180">
        <v>1</v>
      </c>
      <c r="AF180" t="s">
        <v>3</v>
      </c>
      <c r="AG180">
        <v>0.5</v>
      </c>
      <c r="AH180">
        <v>2</v>
      </c>
      <c r="AI180">
        <v>65179604</v>
      </c>
      <c r="AJ180">
        <v>180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ROW(Source!A209)</f>
        <v>209</v>
      </c>
      <c r="B181">
        <v>65179605</v>
      </c>
      <c r="C181">
        <v>65179500</v>
      </c>
      <c r="D181">
        <v>63884340</v>
      </c>
      <c r="E181">
        <v>112</v>
      </c>
      <c r="F181">
        <v>1</v>
      </c>
      <c r="G181">
        <v>1</v>
      </c>
      <c r="H181">
        <v>1</v>
      </c>
      <c r="I181" t="s">
        <v>520</v>
      </c>
      <c r="J181" t="s">
        <v>3</v>
      </c>
      <c r="K181" t="s">
        <v>521</v>
      </c>
      <c r="L181">
        <v>1369</v>
      </c>
      <c r="N181">
        <v>1013</v>
      </c>
      <c r="O181" t="s">
        <v>488</v>
      </c>
      <c r="P181" t="s">
        <v>488</v>
      </c>
      <c r="Q181">
        <v>1</v>
      </c>
      <c r="X181">
        <v>0.81</v>
      </c>
      <c r="Y181">
        <v>0</v>
      </c>
      <c r="Z181">
        <v>0</v>
      </c>
      <c r="AA181">
        <v>0</v>
      </c>
      <c r="AB181">
        <v>658.94</v>
      </c>
      <c r="AC181">
        <v>0</v>
      </c>
      <c r="AD181">
        <v>1</v>
      </c>
      <c r="AE181">
        <v>1</v>
      </c>
      <c r="AF181" t="s">
        <v>3</v>
      </c>
      <c r="AG181">
        <v>0.81</v>
      </c>
      <c r="AH181">
        <v>2</v>
      </c>
      <c r="AI181">
        <v>65179605</v>
      </c>
      <c r="AJ181">
        <v>181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ROW(Source!A209)</f>
        <v>209</v>
      </c>
      <c r="B182">
        <v>65179606</v>
      </c>
      <c r="C182">
        <v>65179500</v>
      </c>
      <c r="D182">
        <v>63884358</v>
      </c>
      <c r="E182">
        <v>112</v>
      </c>
      <c r="F182">
        <v>1</v>
      </c>
      <c r="G182">
        <v>1</v>
      </c>
      <c r="H182">
        <v>1</v>
      </c>
      <c r="I182" t="s">
        <v>522</v>
      </c>
      <c r="J182" t="s">
        <v>3</v>
      </c>
      <c r="K182" t="s">
        <v>523</v>
      </c>
      <c r="L182">
        <v>1369</v>
      </c>
      <c r="N182">
        <v>1013</v>
      </c>
      <c r="O182" t="s">
        <v>488</v>
      </c>
      <c r="P182" t="s">
        <v>488</v>
      </c>
      <c r="Q182">
        <v>1</v>
      </c>
      <c r="X182">
        <v>0.81</v>
      </c>
      <c r="Y182">
        <v>0</v>
      </c>
      <c r="Z182">
        <v>0</v>
      </c>
      <c r="AA182">
        <v>0</v>
      </c>
      <c r="AB182">
        <v>644.29999999999995</v>
      </c>
      <c r="AC182">
        <v>0</v>
      </c>
      <c r="AD182">
        <v>1</v>
      </c>
      <c r="AE182">
        <v>1</v>
      </c>
      <c r="AF182" t="s">
        <v>3</v>
      </c>
      <c r="AG182">
        <v>0.81</v>
      </c>
      <c r="AH182">
        <v>2</v>
      </c>
      <c r="AI182">
        <v>65179606</v>
      </c>
      <c r="AJ182">
        <v>182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ROW(Source!A210)</f>
        <v>210</v>
      </c>
      <c r="B183">
        <v>65179607</v>
      </c>
      <c r="C183">
        <v>65179505</v>
      </c>
      <c r="D183">
        <v>63884340</v>
      </c>
      <c r="E183">
        <v>112</v>
      </c>
      <c r="F183">
        <v>1</v>
      </c>
      <c r="G183">
        <v>1</v>
      </c>
      <c r="H183">
        <v>1</v>
      </c>
      <c r="I183" t="s">
        <v>520</v>
      </c>
      <c r="J183" t="s">
        <v>3</v>
      </c>
      <c r="K183" t="s">
        <v>521</v>
      </c>
      <c r="L183">
        <v>1369</v>
      </c>
      <c r="N183">
        <v>1013</v>
      </c>
      <c r="O183" t="s">
        <v>488</v>
      </c>
      <c r="P183" t="s">
        <v>488</v>
      </c>
      <c r="Q183">
        <v>1</v>
      </c>
      <c r="X183">
        <v>1.62</v>
      </c>
      <c r="Y183">
        <v>0</v>
      </c>
      <c r="Z183">
        <v>0</v>
      </c>
      <c r="AA183">
        <v>0</v>
      </c>
      <c r="AB183">
        <v>658.94</v>
      </c>
      <c r="AC183">
        <v>0</v>
      </c>
      <c r="AD183">
        <v>1</v>
      </c>
      <c r="AE183">
        <v>1</v>
      </c>
      <c r="AF183" t="s">
        <v>3</v>
      </c>
      <c r="AG183">
        <v>1.62</v>
      </c>
      <c r="AH183">
        <v>2</v>
      </c>
      <c r="AI183">
        <v>65179607</v>
      </c>
      <c r="AJ183">
        <v>183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ROW(Source!A210)</f>
        <v>210</v>
      </c>
      <c r="B184">
        <v>65179608</v>
      </c>
      <c r="C184">
        <v>65179505</v>
      </c>
      <c r="D184">
        <v>63884358</v>
      </c>
      <c r="E184">
        <v>112</v>
      </c>
      <c r="F184">
        <v>1</v>
      </c>
      <c r="G184">
        <v>1</v>
      </c>
      <c r="H184">
        <v>1</v>
      </c>
      <c r="I184" t="s">
        <v>522</v>
      </c>
      <c r="J184" t="s">
        <v>3</v>
      </c>
      <c r="K184" t="s">
        <v>523</v>
      </c>
      <c r="L184">
        <v>1369</v>
      </c>
      <c r="N184">
        <v>1013</v>
      </c>
      <c r="O184" t="s">
        <v>488</v>
      </c>
      <c r="P184" t="s">
        <v>488</v>
      </c>
      <c r="Q184">
        <v>1</v>
      </c>
      <c r="X184">
        <v>1.62</v>
      </c>
      <c r="Y184">
        <v>0</v>
      </c>
      <c r="Z184">
        <v>0</v>
      </c>
      <c r="AA184">
        <v>0</v>
      </c>
      <c r="AB184">
        <v>644.29999999999995</v>
      </c>
      <c r="AC184">
        <v>0</v>
      </c>
      <c r="AD184">
        <v>1</v>
      </c>
      <c r="AE184">
        <v>1</v>
      </c>
      <c r="AF184" t="s">
        <v>3</v>
      </c>
      <c r="AG184">
        <v>1.62</v>
      </c>
      <c r="AH184">
        <v>2</v>
      </c>
      <c r="AI184">
        <v>65179608</v>
      </c>
      <c r="AJ184">
        <v>184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ROW(Source!A211)</f>
        <v>211</v>
      </c>
      <c r="B185">
        <v>65179609</v>
      </c>
      <c r="C185">
        <v>65179510</v>
      </c>
      <c r="D185">
        <v>63884340</v>
      </c>
      <c r="E185">
        <v>112</v>
      </c>
      <c r="F185">
        <v>1</v>
      </c>
      <c r="G185">
        <v>1</v>
      </c>
      <c r="H185">
        <v>1</v>
      </c>
      <c r="I185" t="s">
        <v>520</v>
      </c>
      <c r="J185" t="s">
        <v>3</v>
      </c>
      <c r="K185" t="s">
        <v>521</v>
      </c>
      <c r="L185">
        <v>1369</v>
      </c>
      <c r="N185">
        <v>1013</v>
      </c>
      <c r="O185" t="s">
        <v>488</v>
      </c>
      <c r="P185" t="s">
        <v>488</v>
      </c>
      <c r="Q185">
        <v>1</v>
      </c>
      <c r="X185">
        <v>6.48</v>
      </c>
      <c r="Y185">
        <v>0</v>
      </c>
      <c r="Z185">
        <v>0</v>
      </c>
      <c r="AA185">
        <v>0</v>
      </c>
      <c r="AB185">
        <v>658.94</v>
      </c>
      <c r="AC185">
        <v>0</v>
      </c>
      <c r="AD185">
        <v>1</v>
      </c>
      <c r="AE185">
        <v>1</v>
      </c>
      <c r="AF185" t="s">
        <v>3</v>
      </c>
      <c r="AG185">
        <v>6.48</v>
      </c>
      <c r="AH185">
        <v>2</v>
      </c>
      <c r="AI185">
        <v>65179609</v>
      </c>
      <c r="AJ185">
        <v>185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ROW(Source!A211)</f>
        <v>211</v>
      </c>
      <c r="B186">
        <v>65179610</v>
      </c>
      <c r="C186">
        <v>65179510</v>
      </c>
      <c r="D186">
        <v>63884358</v>
      </c>
      <c r="E186">
        <v>112</v>
      </c>
      <c r="F186">
        <v>1</v>
      </c>
      <c r="G186">
        <v>1</v>
      </c>
      <c r="H186">
        <v>1</v>
      </c>
      <c r="I186" t="s">
        <v>522</v>
      </c>
      <c r="J186" t="s">
        <v>3</v>
      </c>
      <c r="K186" t="s">
        <v>523</v>
      </c>
      <c r="L186">
        <v>1369</v>
      </c>
      <c r="N186">
        <v>1013</v>
      </c>
      <c r="O186" t="s">
        <v>488</v>
      </c>
      <c r="P186" t="s">
        <v>488</v>
      </c>
      <c r="Q186">
        <v>1</v>
      </c>
      <c r="X186">
        <v>6.48</v>
      </c>
      <c r="Y186">
        <v>0</v>
      </c>
      <c r="Z186">
        <v>0</v>
      </c>
      <c r="AA186">
        <v>0</v>
      </c>
      <c r="AB186">
        <v>644.29999999999995</v>
      </c>
      <c r="AC186">
        <v>0</v>
      </c>
      <c r="AD186">
        <v>1</v>
      </c>
      <c r="AE186">
        <v>1</v>
      </c>
      <c r="AF186" t="s">
        <v>3</v>
      </c>
      <c r="AG186">
        <v>6.48</v>
      </c>
      <c r="AH186">
        <v>2</v>
      </c>
      <c r="AI186">
        <v>65179610</v>
      </c>
      <c r="AJ186">
        <v>186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974D1-28F7-4F2D-AA68-CDADE3FDC493}">
  <dimension ref="A1:U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68</v>
      </c>
      <c r="B1">
        <v>1</v>
      </c>
      <c r="C1" t="s">
        <v>3</v>
      </c>
      <c r="D1" t="s">
        <v>111</v>
      </c>
      <c r="E1" t="s">
        <v>112</v>
      </c>
      <c r="F1" t="s">
        <v>112</v>
      </c>
      <c r="G1" t="s">
        <v>112</v>
      </c>
      <c r="H1" t="s">
        <v>3</v>
      </c>
      <c r="I1" t="s">
        <v>112</v>
      </c>
      <c r="J1" t="s">
        <v>112</v>
      </c>
      <c r="K1" t="s">
        <v>3</v>
      </c>
      <c r="L1" t="s">
        <v>3</v>
      </c>
      <c r="M1" t="s">
        <v>3</v>
      </c>
      <c r="N1" t="s">
        <v>111</v>
      </c>
      <c r="O1" t="s">
        <v>112</v>
      </c>
      <c r="P1" t="s">
        <v>3</v>
      </c>
      <c r="Q1" t="s">
        <v>3</v>
      </c>
      <c r="R1" t="s">
        <v>3</v>
      </c>
      <c r="S1" t="s">
        <v>524</v>
      </c>
      <c r="T1" t="s">
        <v>525</v>
      </c>
      <c r="U1" t="s">
        <v>526</v>
      </c>
    </row>
    <row r="2" spans="1:21" x14ac:dyDescent="0.2">
      <c r="A2">
        <v>69</v>
      </c>
      <c r="B2">
        <v>1</v>
      </c>
      <c r="C2" t="s">
        <v>3</v>
      </c>
      <c r="D2" t="s">
        <v>111</v>
      </c>
      <c r="E2" t="s">
        <v>112</v>
      </c>
      <c r="F2" t="s">
        <v>112</v>
      </c>
      <c r="G2" t="s">
        <v>112</v>
      </c>
      <c r="H2" t="s">
        <v>3</v>
      </c>
      <c r="I2" t="s">
        <v>112</v>
      </c>
      <c r="J2" t="s">
        <v>112</v>
      </c>
      <c r="K2" t="s">
        <v>3</v>
      </c>
      <c r="L2" t="s">
        <v>3</v>
      </c>
      <c r="M2" t="s">
        <v>3</v>
      </c>
      <c r="N2" t="s">
        <v>111</v>
      </c>
      <c r="O2" t="s">
        <v>112</v>
      </c>
      <c r="P2" t="s">
        <v>3</v>
      </c>
      <c r="Q2" t="s">
        <v>3</v>
      </c>
      <c r="R2" t="s">
        <v>3</v>
      </c>
      <c r="S2" t="s">
        <v>524</v>
      </c>
      <c r="T2" t="s">
        <v>525</v>
      </c>
      <c r="U2" t="s">
        <v>526</v>
      </c>
    </row>
    <row r="3" spans="1:21" x14ac:dyDescent="0.2">
      <c r="A3">
        <v>70</v>
      </c>
      <c r="B3">
        <v>1</v>
      </c>
      <c r="C3" t="s">
        <v>3</v>
      </c>
      <c r="D3" t="s">
        <v>111</v>
      </c>
      <c r="E3" t="s">
        <v>112</v>
      </c>
      <c r="F3" t="s">
        <v>112</v>
      </c>
      <c r="G3" t="s">
        <v>112</v>
      </c>
      <c r="H3" t="s">
        <v>3</v>
      </c>
      <c r="I3" t="s">
        <v>112</v>
      </c>
      <c r="J3" t="s">
        <v>112</v>
      </c>
      <c r="K3" t="s">
        <v>3</v>
      </c>
      <c r="L3" t="s">
        <v>3</v>
      </c>
      <c r="M3" t="s">
        <v>3</v>
      </c>
      <c r="N3" t="s">
        <v>111</v>
      </c>
      <c r="O3" t="s">
        <v>112</v>
      </c>
      <c r="P3" t="s">
        <v>3</v>
      </c>
      <c r="Q3" t="s">
        <v>3</v>
      </c>
      <c r="R3" t="s">
        <v>3</v>
      </c>
      <c r="S3" t="s">
        <v>524</v>
      </c>
      <c r="T3" t="s">
        <v>525</v>
      </c>
      <c r="U3" t="s">
        <v>526</v>
      </c>
    </row>
    <row r="4" spans="1:21" x14ac:dyDescent="0.2">
      <c r="A4">
        <v>71</v>
      </c>
      <c r="B4">
        <v>1</v>
      </c>
      <c r="C4" t="s">
        <v>3</v>
      </c>
      <c r="D4" t="s">
        <v>111</v>
      </c>
      <c r="E4" t="s">
        <v>112</v>
      </c>
      <c r="F4" t="s">
        <v>112</v>
      </c>
      <c r="G4" t="s">
        <v>112</v>
      </c>
      <c r="H4" t="s">
        <v>3</v>
      </c>
      <c r="I4" t="s">
        <v>112</v>
      </c>
      <c r="J4" t="s">
        <v>112</v>
      </c>
      <c r="K4" t="s">
        <v>3</v>
      </c>
      <c r="L4" t="s">
        <v>3</v>
      </c>
      <c r="M4" t="s">
        <v>3</v>
      </c>
      <c r="N4" t="s">
        <v>111</v>
      </c>
      <c r="O4" t="s">
        <v>112</v>
      </c>
      <c r="P4" t="s">
        <v>3</v>
      </c>
      <c r="Q4" t="s">
        <v>3</v>
      </c>
      <c r="R4" t="s">
        <v>3</v>
      </c>
      <c r="S4" t="s">
        <v>524</v>
      </c>
      <c r="T4" t="s">
        <v>525</v>
      </c>
      <c r="U4" t="s">
        <v>526</v>
      </c>
    </row>
    <row r="5" spans="1:21" x14ac:dyDescent="0.2">
      <c r="A5">
        <v>72</v>
      </c>
      <c r="B5">
        <v>1</v>
      </c>
      <c r="C5" t="s">
        <v>3</v>
      </c>
      <c r="D5" t="s">
        <v>111</v>
      </c>
      <c r="E5" t="s">
        <v>112</v>
      </c>
      <c r="F5" t="s">
        <v>112</v>
      </c>
      <c r="G5" t="s">
        <v>112</v>
      </c>
      <c r="H5" t="s">
        <v>3</v>
      </c>
      <c r="I5" t="s">
        <v>112</v>
      </c>
      <c r="J5" t="s">
        <v>112</v>
      </c>
      <c r="K5" t="s">
        <v>3</v>
      </c>
      <c r="L5" t="s">
        <v>3</v>
      </c>
      <c r="M5" t="s">
        <v>3</v>
      </c>
      <c r="N5" t="s">
        <v>111</v>
      </c>
      <c r="O5" t="s">
        <v>112</v>
      </c>
      <c r="P5" t="s">
        <v>3</v>
      </c>
      <c r="Q5" t="s">
        <v>3</v>
      </c>
      <c r="R5" t="s">
        <v>3</v>
      </c>
      <c r="S5" t="s">
        <v>524</v>
      </c>
      <c r="T5" t="s">
        <v>525</v>
      </c>
      <c r="U5" t="s">
        <v>526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DDCE9-26A8-424B-824D-B7E4870E06FD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">
      <c r="F12" t="str">
        <f>Source!F12</f>
        <v>Новый объект</v>
      </c>
      <c r="G12" t="str">
        <f>Source!G12</f>
        <v>ВЛ-0,4кВ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ФСНБ 421+557прРИМ</vt:lpstr>
      <vt:lpstr>Source</vt:lpstr>
      <vt:lpstr>SourceObSm</vt:lpstr>
      <vt:lpstr>SmtRes</vt:lpstr>
      <vt:lpstr>EtalonRes</vt:lpstr>
      <vt:lpstr>SrcPoprs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Мишкина Зинаида Ильинична</cp:lastModifiedBy>
  <cp:lastPrinted>2025-04-25T12:29:23Z</cp:lastPrinted>
  <dcterms:created xsi:type="dcterms:W3CDTF">2025-04-25T12:10:55Z</dcterms:created>
  <dcterms:modified xsi:type="dcterms:W3CDTF">2025-04-28T06:28:42Z</dcterms:modified>
</cp:coreProperties>
</file>